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xampp\htdocs\te\apps\transparencia\articulo8\V\g\2024\"/>
    </mc:Choice>
  </mc:AlternateContent>
  <xr:revisionPtr revIDLastSave="0" documentId="13_ncr:1_{939AD544-F40B-4430-B032-789E337959A4}" xr6:coauthVersionLast="47" xr6:coauthVersionMax="47" xr10:uidLastSave="{00000000-0000-0000-0000-000000000000}"/>
  <bookViews>
    <workbookView xWindow="-120" yWindow="-120" windowWidth="29040" windowHeight="15720" tabRatio="816" firstSheet="1" activeTab="7" xr2:uid="{00000000-000D-0000-FFFF-FFFF00000000}"/>
  </bookViews>
  <sheets>
    <sheet name="tarifa" sheetId="2" state="hidden" r:id="rId1"/>
    <sheet name="REGIDORES" sheetId="215" r:id="rId2"/>
    <sheet name="BASE" sheetId="205" r:id="rId3"/>
    <sheet name="EVENTUALES" sheetId="206" r:id="rId4"/>
    <sheet name="PENSIONADOS" sheetId="214" r:id="rId5"/>
    <sheet name="Apoyos " sheetId="213" r:id="rId6"/>
    <sheet name="SEG. PUBLICA" sheetId="216" r:id="rId7"/>
    <sheet name="PROT.CIVIL" sheetId="217" r:id="rId8"/>
  </sheets>
  <definedNames>
    <definedName name="_xlnm._FilterDatabase" localSheetId="2" hidden="1">BASE!$F$8:$F$103</definedName>
    <definedName name="_xlnm.Print_Area" localSheetId="5">'Apoyos '!$A$1:$AJ$31</definedName>
    <definedName name="_xlnm.Print_Area" localSheetId="2">BASE!$B$1:$M$96</definedName>
    <definedName name="_xlnm.Print_Area" localSheetId="4">PENSIONADOS!$B$1:$AJ$36</definedName>
    <definedName name="_xlnm.Print_Area" localSheetId="7">PROT.CIVIL!$B$2:$M$34</definedName>
    <definedName name="_xlnm.Print_Area" localSheetId="1">REGIDORES!$B$1:$N$28</definedName>
    <definedName name="_xlnm.Print_Area" localSheetId="6">'SEG. PUBLICA'!$B$1:$M$41</definedName>
    <definedName name="SUBSIDIO">tarifa!$F$13:$G$23</definedName>
    <definedName name="TARIFA">tarifa!$B$13:$D$23</definedName>
    <definedName name="_xlnm.Print_Titles" localSheetId="2">BASE!$1:$5</definedName>
    <definedName name="_xlnm.Print_Titles" localSheetId="3">EVENTUALES!$2:$7</definedName>
    <definedName name="_xlnm.Print_Titles" localSheetId="6">'SEG. PUBLICA'!$2:$7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0" i="206" l="1"/>
  <c r="H60" i="206"/>
  <c r="L60" i="206" s="1"/>
  <c r="H36" i="216"/>
  <c r="J36" i="216" s="1"/>
  <c r="K36" i="216" s="1"/>
  <c r="H29" i="217"/>
  <c r="J29" i="217" s="1"/>
  <c r="K29" i="217" s="1"/>
  <c r="L36" i="216" l="1"/>
  <c r="L29" i="217"/>
  <c r="J59" i="206"/>
  <c r="H59" i="206"/>
  <c r="L59" i="206" s="1"/>
  <c r="H61" i="206"/>
  <c r="L61" i="206" s="1"/>
  <c r="J61" i="206"/>
  <c r="I14" i="205"/>
  <c r="H9" i="205" l="1"/>
  <c r="H12" i="215"/>
  <c r="I39" i="216"/>
  <c r="J37" i="216"/>
  <c r="K37" i="216" s="1"/>
  <c r="H37" i="216"/>
  <c r="H33" i="216"/>
  <c r="H34" i="216"/>
  <c r="L37" i="216" l="1"/>
  <c r="J9" i="205"/>
  <c r="J12" i="215"/>
  <c r="L12" i="215" s="1"/>
  <c r="M12" i="215" s="1"/>
  <c r="J33" i="216"/>
  <c r="J34" i="216"/>
  <c r="K34" i="216" s="1"/>
  <c r="L34" i="216" s="1"/>
  <c r="H105" i="206"/>
  <c r="L105" i="206" s="1"/>
  <c r="K9" i="205" l="1"/>
  <c r="K33" i="216"/>
  <c r="H77" i="206"/>
  <c r="L9" i="205" l="1"/>
  <c r="L33" i="216"/>
  <c r="L77" i="206"/>
  <c r="H30" i="216"/>
  <c r="J30" i="216" s="1"/>
  <c r="K30" i="216" s="1"/>
  <c r="L30" i="216" l="1"/>
  <c r="L13" i="206"/>
  <c r="I94" i="205" l="1"/>
  <c r="H29" i="216" l="1"/>
  <c r="J29" i="216" l="1"/>
  <c r="K29" i="216" s="1"/>
  <c r="L29" i="216" l="1"/>
  <c r="H52" i="205" l="1"/>
  <c r="H54" i="205" s="1"/>
  <c r="H53" i="205"/>
  <c r="H27" i="217"/>
  <c r="J49" i="206"/>
  <c r="K49" i="206" s="1"/>
  <c r="H49" i="206"/>
  <c r="J53" i="205" l="1"/>
  <c r="K53" i="205" s="1"/>
  <c r="L53" i="205" s="1"/>
  <c r="J27" i="217"/>
  <c r="L49" i="206"/>
  <c r="L27" i="217" l="1"/>
  <c r="J41" i="206" l="1"/>
  <c r="K41" i="206" s="1"/>
  <c r="H41" i="206"/>
  <c r="L41" i="206" l="1"/>
  <c r="J89" i="206"/>
  <c r="K89" i="206" s="1"/>
  <c r="H89" i="206"/>
  <c r="Q23" i="214"/>
  <c r="J23" i="214"/>
  <c r="H23" i="214"/>
  <c r="O23" i="214" s="1"/>
  <c r="L89" i="206" l="1"/>
  <c r="R23" i="214"/>
  <c r="T23" i="214" s="1"/>
  <c r="V23" i="214" s="1"/>
  <c r="X23" i="214" s="1"/>
  <c r="Z23" i="214" s="1"/>
  <c r="AC23" i="214" s="1"/>
  <c r="AH23" i="214" s="1"/>
  <c r="AI23" i="214" s="1"/>
  <c r="H32" i="216"/>
  <c r="J32" i="216" l="1"/>
  <c r="K32" i="216" s="1"/>
  <c r="L32" i="216" s="1"/>
  <c r="J56" i="206" l="1"/>
  <c r="K56" i="206" s="1"/>
  <c r="H56" i="206"/>
  <c r="J40" i="206"/>
  <c r="K40" i="206" s="1"/>
  <c r="H40" i="206"/>
  <c r="J32" i="206"/>
  <c r="K32" i="206" s="1"/>
  <c r="H32" i="206"/>
  <c r="J112" i="206"/>
  <c r="K112" i="206" s="1"/>
  <c r="H112" i="206"/>
  <c r="L56" i="206" l="1"/>
  <c r="L40" i="206"/>
  <c r="L112" i="206"/>
  <c r="L32" i="206" l="1"/>
  <c r="K20" i="215" l="1"/>
  <c r="H31" i="216"/>
  <c r="H28" i="216"/>
  <c r="J28" i="216" s="1"/>
  <c r="K28" i="216" s="1"/>
  <c r="J58" i="206"/>
  <c r="H58" i="206"/>
  <c r="M96" i="205"/>
  <c r="J31" i="216" l="1"/>
  <c r="K31" i="216" s="1"/>
  <c r="L31" i="216" s="1"/>
  <c r="L28" i="216"/>
  <c r="L58" i="206"/>
  <c r="H27" i="216"/>
  <c r="J27" i="216" s="1"/>
  <c r="K27" i="216" s="1"/>
  <c r="H12" i="217"/>
  <c r="M42" i="206"/>
  <c r="H24" i="217"/>
  <c r="J39" i="206"/>
  <c r="K39" i="206" s="1"/>
  <c r="H39" i="206"/>
  <c r="L27" i="216" l="1"/>
  <c r="J12" i="217"/>
  <c r="K12" i="217" s="1"/>
  <c r="L39" i="206"/>
  <c r="H9" i="216"/>
  <c r="H10" i="216"/>
  <c r="H11" i="216"/>
  <c r="H12" i="216"/>
  <c r="H13" i="216"/>
  <c r="H14" i="216"/>
  <c r="H15" i="216"/>
  <c r="H16" i="216"/>
  <c r="H17" i="216"/>
  <c r="H18" i="216"/>
  <c r="H19" i="216"/>
  <c r="H20" i="216"/>
  <c r="H21" i="216"/>
  <c r="H22" i="216"/>
  <c r="H23" i="216"/>
  <c r="H24" i="216"/>
  <c r="H25" i="216"/>
  <c r="H26" i="216"/>
  <c r="H35" i="216"/>
  <c r="H25" i="217"/>
  <c r="H26" i="217"/>
  <c r="H28" i="217"/>
  <c r="H30" i="217"/>
  <c r="H17" i="214"/>
  <c r="H18" i="214"/>
  <c r="H19" i="214"/>
  <c r="H20" i="214"/>
  <c r="H21" i="214"/>
  <c r="H22" i="214"/>
  <c r="H16" i="214"/>
  <c r="H133" i="206"/>
  <c r="H134" i="206"/>
  <c r="H135" i="206"/>
  <c r="H132" i="206"/>
  <c r="H136" i="206" s="1"/>
  <c r="H111" i="206"/>
  <c r="H113" i="206"/>
  <c r="H114" i="206"/>
  <c r="H115" i="206"/>
  <c r="H116" i="206"/>
  <c r="H117" i="206"/>
  <c r="H118" i="206"/>
  <c r="H119" i="206"/>
  <c r="H120" i="206"/>
  <c r="H121" i="206"/>
  <c r="H55" i="206"/>
  <c r="H49" i="205"/>
  <c r="H46" i="205"/>
  <c r="H45" i="205"/>
  <c r="H42" i="205"/>
  <c r="H41" i="205"/>
  <c r="H38" i="205"/>
  <c r="H39" i="205" s="1"/>
  <c r="H34" i="205"/>
  <c r="H35" i="205"/>
  <c r="H33" i="205"/>
  <c r="H30" i="205"/>
  <c r="H29" i="205"/>
  <c r="H31" i="205" s="1"/>
  <c r="H23" i="205"/>
  <c r="H27" i="205" s="1"/>
  <c r="H24" i="205"/>
  <c r="H25" i="205"/>
  <c r="H26" i="205"/>
  <c r="H20" i="205"/>
  <c r="H19" i="205"/>
  <c r="H16" i="205"/>
  <c r="H17" i="205" s="1"/>
  <c r="H13" i="205"/>
  <c r="H12" i="205"/>
  <c r="H11" i="205"/>
  <c r="H10" i="205"/>
  <c r="H47" i="205" l="1"/>
  <c r="H14" i="205"/>
  <c r="H21" i="205"/>
  <c r="H36" i="205"/>
  <c r="H43" i="205"/>
  <c r="H25" i="214"/>
  <c r="L12" i="217"/>
  <c r="J13" i="205" l="1"/>
  <c r="K13" i="205" s="1"/>
  <c r="L13" i="205" s="1"/>
  <c r="J25" i="217" l="1"/>
  <c r="J35" i="216"/>
  <c r="J15" i="216"/>
  <c r="J135" i="206"/>
  <c r="J134" i="206"/>
  <c r="J133" i="206"/>
  <c r="J132" i="206"/>
  <c r="J129" i="206"/>
  <c r="J127" i="206"/>
  <c r="J125" i="206"/>
  <c r="J124" i="206"/>
  <c r="J121" i="206"/>
  <c r="J120" i="206"/>
  <c r="J119" i="206"/>
  <c r="J118" i="206"/>
  <c r="J117" i="206"/>
  <c r="J116" i="206"/>
  <c r="J115" i="206"/>
  <c r="J114" i="206"/>
  <c r="J113" i="206"/>
  <c r="J111" i="206"/>
  <c r="J110" i="206"/>
  <c r="J109" i="206"/>
  <c r="J108" i="206"/>
  <c r="J104" i="206"/>
  <c r="J103" i="206"/>
  <c r="J102" i="206"/>
  <c r="J101" i="206"/>
  <c r="J100" i="206"/>
  <c r="J99" i="206"/>
  <c r="J98" i="206"/>
  <c r="J97" i="206"/>
  <c r="J96" i="206"/>
  <c r="J94" i="206"/>
  <c r="J93" i="206"/>
  <c r="J92" i="206"/>
  <c r="J88" i="206"/>
  <c r="J87" i="206"/>
  <c r="J86" i="206"/>
  <c r="J85" i="206"/>
  <c r="J84" i="206"/>
  <c r="J81" i="206"/>
  <c r="J75" i="206"/>
  <c r="J74" i="206"/>
  <c r="J73" i="206"/>
  <c r="J72" i="206"/>
  <c r="J71" i="206"/>
  <c r="J70" i="206"/>
  <c r="J65" i="206"/>
  <c r="J64" i="206"/>
  <c r="J57" i="206"/>
  <c r="J55" i="206"/>
  <c r="J54" i="206"/>
  <c r="J53" i="206"/>
  <c r="J52" i="206"/>
  <c r="J51" i="206"/>
  <c r="J50" i="206"/>
  <c r="J48" i="206"/>
  <c r="J47" i="206"/>
  <c r="J46" i="206"/>
  <c r="J45" i="206"/>
  <c r="J44" i="206"/>
  <c r="J38" i="206"/>
  <c r="J37" i="206"/>
  <c r="J36" i="206"/>
  <c r="J35" i="206"/>
  <c r="J29" i="206"/>
  <c r="J15" i="206"/>
  <c r="J14" i="206"/>
  <c r="J12" i="206"/>
  <c r="J11" i="206"/>
  <c r="J10" i="205"/>
  <c r="J83" i="205"/>
  <c r="J82" i="205"/>
  <c r="J73" i="205"/>
  <c r="J69" i="205"/>
  <c r="J68" i="205"/>
  <c r="J60" i="205"/>
  <c r="J52" i="205"/>
  <c r="J54" i="205" s="1"/>
  <c r="J46" i="205"/>
  <c r="J42" i="205"/>
  <c r="J34" i="205"/>
  <c r="J30" i="205"/>
  <c r="J26" i="205"/>
  <c r="J25" i="205"/>
  <c r="J24" i="205"/>
  <c r="J16" i="205"/>
  <c r="J12" i="205"/>
  <c r="J62" i="206" l="1"/>
  <c r="J42" i="206"/>
  <c r="J90" i="206"/>
  <c r="K10" i="205"/>
  <c r="J30" i="217"/>
  <c r="K30" i="217" s="1"/>
  <c r="J28" i="217"/>
  <c r="J24" i="217"/>
  <c r="H23" i="217"/>
  <c r="J23" i="217" s="1"/>
  <c r="H22" i="217"/>
  <c r="J22" i="217" s="1"/>
  <c r="K22" i="217" s="1"/>
  <c r="H21" i="217"/>
  <c r="H20" i="217"/>
  <c r="H19" i="217"/>
  <c r="J19" i="217" s="1"/>
  <c r="H18" i="217"/>
  <c r="H17" i="217"/>
  <c r="H16" i="217"/>
  <c r="J16" i="217" s="1"/>
  <c r="H15" i="217"/>
  <c r="J15" i="217" s="1"/>
  <c r="H14" i="217"/>
  <c r="J14" i="217" s="1"/>
  <c r="K14" i="217" s="1"/>
  <c r="H13" i="217"/>
  <c r="H11" i="217"/>
  <c r="H10" i="217"/>
  <c r="J10" i="217" s="1"/>
  <c r="H9" i="217"/>
  <c r="H8" i="217"/>
  <c r="K35" i="216"/>
  <c r="H8" i="216"/>
  <c r="H39" i="216" s="1"/>
  <c r="H32" i="217" l="1"/>
  <c r="J8" i="217"/>
  <c r="K8" i="217" s="1"/>
  <c r="L14" i="217"/>
  <c r="J26" i="217"/>
  <c r="J21" i="217"/>
  <c r="K21" i="217" s="1"/>
  <c r="J13" i="217"/>
  <c r="K13" i="217" s="1"/>
  <c r="J18" i="217"/>
  <c r="K18" i="217" s="1"/>
  <c r="J20" i="217"/>
  <c r="K20" i="217" s="1"/>
  <c r="L15" i="217"/>
  <c r="J17" i="217"/>
  <c r="K17" i="217" s="1"/>
  <c r="J11" i="217"/>
  <c r="K11" i="217" s="1"/>
  <c r="J9" i="217"/>
  <c r="K9" i="217" s="1"/>
  <c r="J22" i="216"/>
  <c r="K22" i="216" s="1"/>
  <c r="J24" i="216"/>
  <c r="K24" i="216" s="1"/>
  <c r="J25" i="216"/>
  <c r="K25" i="216" s="1"/>
  <c r="J23" i="216"/>
  <c r="K23" i="216" s="1"/>
  <c r="J26" i="216"/>
  <c r="K26" i="216" s="1"/>
  <c r="J21" i="216"/>
  <c r="K21" i="216" s="1"/>
  <c r="J20" i="216"/>
  <c r="K20" i="216" s="1"/>
  <c r="J19" i="216"/>
  <c r="K19" i="216" s="1"/>
  <c r="J18" i="216"/>
  <c r="K18" i="216" s="1"/>
  <c r="J17" i="216"/>
  <c r="K17" i="216" s="1"/>
  <c r="J16" i="216"/>
  <c r="K16" i="216" s="1"/>
  <c r="J14" i="216"/>
  <c r="K14" i="216" s="1"/>
  <c r="J13" i="216"/>
  <c r="K13" i="216" s="1"/>
  <c r="J12" i="216"/>
  <c r="K12" i="216" s="1"/>
  <c r="J11" i="216"/>
  <c r="K11" i="216" s="1"/>
  <c r="J10" i="216"/>
  <c r="K10" i="216" s="1"/>
  <c r="J9" i="216"/>
  <c r="K9" i="216" s="1"/>
  <c r="J8" i="216"/>
  <c r="L35" i="216"/>
  <c r="L10" i="205"/>
  <c r="L30" i="217"/>
  <c r="L22" i="217"/>
  <c r="K15" i="217"/>
  <c r="K23" i="217"/>
  <c r="L23" i="217"/>
  <c r="K10" i="217"/>
  <c r="K19" i="217"/>
  <c r="K28" i="217"/>
  <c r="K16" i="217"/>
  <c r="K24" i="217"/>
  <c r="K15" i="216"/>
  <c r="K32" i="217" l="1"/>
  <c r="J39" i="216"/>
  <c r="L8" i="217"/>
  <c r="L17" i="217"/>
  <c r="L12" i="216"/>
  <c r="L19" i="216"/>
  <c r="J32" i="217"/>
  <c r="L20" i="217"/>
  <c r="L26" i="217"/>
  <c r="I32" i="217"/>
  <c r="L16" i="216"/>
  <c r="L23" i="216"/>
  <c r="L22" i="216"/>
  <c r="K8" i="216"/>
  <c r="K39" i="216" s="1"/>
  <c r="L18" i="216"/>
  <c r="L21" i="216"/>
  <c r="L17" i="216"/>
  <c r="L14" i="216"/>
  <c r="L24" i="216"/>
  <c r="L10" i="216"/>
  <c r="L9" i="217"/>
  <c r="L18" i="217"/>
  <c r="L11" i="217"/>
  <c r="L13" i="216"/>
  <c r="L11" i="216"/>
  <c r="L20" i="216"/>
  <c r="L26" i="216"/>
  <c r="L21" i="217"/>
  <c r="L13" i="217"/>
  <c r="L16" i="217"/>
  <c r="L10" i="217"/>
  <c r="L28" i="217"/>
  <c r="L19" i="217"/>
  <c r="L9" i="216"/>
  <c r="L25" i="216"/>
  <c r="L15" i="216"/>
  <c r="L24" i="217"/>
  <c r="L43" i="217" l="1"/>
  <c r="L32" i="217"/>
  <c r="L41" i="217"/>
  <c r="L48" i="216"/>
  <c r="L8" i="216"/>
  <c r="L39" i="216" s="1"/>
  <c r="L50" i="216" l="1"/>
  <c r="L51" i="216" s="1"/>
  <c r="L44" i="217"/>
  <c r="L46" i="217" s="1"/>
  <c r="H9" i="206"/>
  <c r="L53" i="216" l="1"/>
  <c r="E42" i="215"/>
  <c r="J9" i="206"/>
  <c r="K9" i="206" s="1"/>
  <c r="K129" i="206"/>
  <c r="H129" i="206"/>
  <c r="L129" i="206" l="1"/>
  <c r="L9" i="206"/>
  <c r="N20" i="215" l="1"/>
  <c r="H19" i="215"/>
  <c r="J19" i="215" s="1"/>
  <c r="H18" i="215"/>
  <c r="J18" i="215" s="1"/>
  <c r="H17" i="215"/>
  <c r="H16" i="215"/>
  <c r="H15" i="215"/>
  <c r="J15" i="215" s="1"/>
  <c r="H14" i="215"/>
  <c r="H13" i="215"/>
  <c r="H11" i="215"/>
  <c r="J11" i="215" s="1"/>
  <c r="H10" i="215"/>
  <c r="K55" i="206"/>
  <c r="H57" i="206"/>
  <c r="J10" i="215" l="1"/>
  <c r="L10" i="215" s="1"/>
  <c r="H20" i="215"/>
  <c r="J13" i="215"/>
  <c r="L13" i="215" s="1"/>
  <c r="M13" i="215" s="1"/>
  <c r="J17" i="215"/>
  <c r="L17" i="215" s="1"/>
  <c r="M17" i="215" s="1"/>
  <c r="J14" i="215"/>
  <c r="L14" i="215" s="1"/>
  <c r="M14" i="215" s="1"/>
  <c r="J16" i="215"/>
  <c r="L16" i="215" s="1"/>
  <c r="M16" i="215" s="1"/>
  <c r="L18" i="215"/>
  <c r="M18" i="215" s="1"/>
  <c r="M31" i="215" s="1"/>
  <c r="L55" i="206"/>
  <c r="L15" i="215"/>
  <c r="M15" i="215" s="1"/>
  <c r="L19" i="215"/>
  <c r="M19" i="215" s="1"/>
  <c r="L57" i="206"/>
  <c r="J20" i="215" l="1"/>
  <c r="L11" i="215"/>
  <c r="M11" i="215" s="1"/>
  <c r="L20" i="215" l="1"/>
  <c r="M10" i="215"/>
  <c r="M32" i="215" s="1"/>
  <c r="M20" i="215" l="1"/>
  <c r="H76" i="206"/>
  <c r="K101" i="206"/>
  <c r="H101" i="206"/>
  <c r="L101" i="206" s="1"/>
  <c r="H29" i="206"/>
  <c r="J76" i="206" l="1"/>
  <c r="K76" i="206" s="1"/>
  <c r="M34" i="215"/>
  <c r="K29" i="206"/>
  <c r="L29" i="206" s="1"/>
  <c r="K26" i="205"/>
  <c r="L76" i="206" l="1"/>
  <c r="L26" i="205"/>
  <c r="M36" i="215"/>
  <c r="K104" i="206"/>
  <c r="H104" i="206"/>
  <c r="L104" i="206" l="1"/>
  <c r="J78" i="206" l="1"/>
  <c r="H25" i="206"/>
  <c r="M26" i="206"/>
  <c r="G66" i="213"/>
  <c r="H128" i="206"/>
  <c r="K48" i="206"/>
  <c r="H48" i="206"/>
  <c r="J128" i="206" l="1"/>
  <c r="K128" i="206" s="1"/>
  <c r="L128" i="206" s="1"/>
  <c r="J25" i="206"/>
  <c r="K25" i="206" s="1"/>
  <c r="L48" i="206"/>
  <c r="G69" i="213"/>
  <c r="G54" i="213"/>
  <c r="L25" i="206" l="1"/>
  <c r="F49" i="213" l="1"/>
  <c r="H31" i="206" l="1"/>
  <c r="AG25" i="214"/>
  <c r="AF25" i="214"/>
  <c r="AE25" i="214"/>
  <c r="AD25" i="214"/>
  <c r="AB25" i="214"/>
  <c r="N25" i="214"/>
  <c r="M25" i="214"/>
  <c r="L25" i="214"/>
  <c r="K25" i="214"/>
  <c r="I25" i="214"/>
  <c r="Q22" i="214"/>
  <c r="J22" i="214"/>
  <c r="O22" i="214" s="1"/>
  <c r="Q21" i="214"/>
  <c r="J21" i="214"/>
  <c r="Q20" i="214"/>
  <c r="J20" i="214"/>
  <c r="O20" i="214" s="1"/>
  <c r="Q19" i="214"/>
  <c r="J19" i="214"/>
  <c r="Q18" i="214"/>
  <c r="J18" i="214"/>
  <c r="Q17" i="214"/>
  <c r="J17" i="214"/>
  <c r="Q16" i="214"/>
  <c r="J16" i="214"/>
  <c r="O16" i="214" s="1"/>
  <c r="F53" i="213"/>
  <c r="F50" i="213"/>
  <c r="G21" i="213"/>
  <c r="F20" i="213"/>
  <c r="G16" i="213"/>
  <c r="G10" i="213"/>
  <c r="G22" i="213" l="1"/>
  <c r="J31" i="206"/>
  <c r="K31" i="206" s="1"/>
  <c r="R17" i="214"/>
  <c r="T17" i="214" s="1"/>
  <c r="R21" i="214"/>
  <c r="R19" i="214"/>
  <c r="R22" i="214"/>
  <c r="T22" i="214" s="1"/>
  <c r="AK9" i="213"/>
  <c r="Q25" i="214"/>
  <c r="O17" i="214"/>
  <c r="R16" i="214"/>
  <c r="R18" i="214"/>
  <c r="O18" i="214"/>
  <c r="R20" i="214"/>
  <c r="O21" i="214"/>
  <c r="O19" i="214"/>
  <c r="J25" i="214"/>
  <c r="L31" i="206" l="1"/>
  <c r="T21" i="214"/>
  <c r="V21" i="214" s="1"/>
  <c r="X21" i="214" s="1"/>
  <c r="Z21" i="214" s="1"/>
  <c r="AC21" i="214" s="1"/>
  <c r="AH21" i="214" s="1"/>
  <c r="AI21" i="214" s="1"/>
  <c r="T18" i="214"/>
  <c r="R25" i="214"/>
  <c r="T19" i="214"/>
  <c r="O25" i="214"/>
  <c r="V17" i="214"/>
  <c r="X17" i="214" s="1"/>
  <c r="Z17" i="214" s="1"/>
  <c r="AC17" i="214" s="1"/>
  <c r="AH17" i="214" s="1"/>
  <c r="AI17" i="214" s="1"/>
  <c r="V22" i="214"/>
  <c r="X22" i="214" s="1"/>
  <c r="Z22" i="214" s="1"/>
  <c r="AC22" i="214" s="1"/>
  <c r="AH22" i="214" s="1"/>
  <c r="AI22" i="214" s="1"/>
  <c r="T16" i="214"/>
  <c r="T20" i="214"/>
  <c r="W25" i="214"/>
  <c r="V19" i="214" l="1"/>
  <c r="X19" i="214" s="1"/>
  <c r="Z19" i="214" s="1"/>
  <c r="AC19" i="214" s="1"/>
  <c r="AH19" i="214" s="1"/>
  <c r="AI19" i="214" s="1"/>
  <c r="Y25" i="214"/>
  <c r="V18" i="214"/>
  <c r="X18" i="214" s="1"/>
  <c r="Z18" i="214" s="1"/>
  <c r="AC18" i="214" s="1"/>
  <c r="AH18" i="214" s="1"/>
  <c r="AI18" i="214" s="1"/>
  <c r="U25" i="214"/>
  <c r="V20" i="214"/>
  <c r="X20" i="214" s="1"/>
  <c r="Z20" i="214" s="1"/>
  <c r="AC20" i="214" s="1"/>
  <c r="AH20" i="214" s="1"/>
  <c r="AI20" i="214" s="1"/>
  <c r="T25" i="214"/>
  <c r="V16" i="214"/>
  <c r="S25" i="214"/>
  <c r="X16" i="214" l="1"/>
  <c r="V25" i="214"/>
  <c r="X25" i="214" l="1"/>
  <c r="Z16" i="214"/>
  <c r="Z25" i="214" l="1"/>
  <c r="AC16" i="214"/>
  <c r="AC25" i="214" l="1"/>
  <c r="AH16" i="214"/>
  <c r="AH25" i="214" l="1"/>
  <c r="AL25" i="214" s="1"/>
  <c r="AI16" i="214"/>
  <c r="AI25" i="214" l="1"/>
  <c r="AI39" i="214"/>
  <c r="AI41" i="214"/>
  <c r="K111" i="206"/>
  <c r="K113" i="206"/>
  <c r="L111" i="206" l="1"/>
  <c r="L113" i="206"/>
  <c r="H126" i="206" l="1"/>
  <c r="H108" i="206"/>
  <c r="H97" i="206"/>
  <c r="H96" i="206"/>
  <c r="H93" i="206"/>
  <c r="H88" i="206"/>
  <c r="H81" i="206"/>
  <c r="H72" i="206"/>
  <c r="H66" i="206"/>
  <c r="H65" i="206"/>
  <c r="H51" i="206"/>
  <c r="H54" i="206"/>
  <c r="H53" i="206"/>
  <c r="H52" i="206"/>
  <c r="H24" i="206"/>
  <c r="H19" i="206"/>
  <c r="H93" i="205"/>
  <c r="J93" i="205" s="1"/>
  <c r="J94" i="205" s="1"/>
  <c r="H82" i="205"/>
  <c r="H79" i="205"/>
  <c r="J79" i="205" s="1"/>
  <c r="H76" i="205"/>
  <c r="J76" i="205" s="1"/>
  <c r="H61" i="205"/>
  <c r="J61" i="205" s="1"/>
  <c r="H60" i="205"/>
  <c r="H59" i="205"/>
  <c r="J59" i="205" s="1"/>
  <c r="H56" i="205"/>
  <c r="J35" i="205"/>
  <c r="J33" i="205"/>
  <c r="J29" i="205"/>
  <c r="J23" i="205"/>
  <c r="J20" i="205"/>
  <c r="H141" i="206"/>
  <c r="K133" i="206"/>
  <c r="K132" i="206"/>
  <c r="K125" i="206"/>
  <c r="K121" i="206"/>
  <c r="K120" i="206"/>
  <c r="K119" i="206"/>
  <c r="K118" i="206"/>
  <c r="K116" i="206"/>
  <c r="K115" i="206"/>
  <c r="K114" i="206"/>
  <c r="K110" i="206"/>
  <c r="K109" i="206"/>
  <c r="K108" i="206"/>
  <c r="K103" i="206"/>
  <c r="K102" i="206"/>
  <c r="K100" i="206"/>
  <c r="K98" i="206"/>
  <c r="K97" i="206"/>
  <c r="K96" i="206"/>
  <c r="K94" i="206"/>
  <c r="K93" i="206"/>
  <c r="K92" i="206"/>
  <c r="K87" i="206"/>
  <c r="K86" i="206"/>
  <c r="K85" i="206"/>
  <c r="K84" i="206"/>
  <c r="K75" i="206"/>
  <c r="K72" i="206"/>
  <c r="K73" i="206"/>
  <c r="K74" i="206"/>
  <c r="K71" i="206"/>
  <c r="K70" i="206"/>
  <c r="K65" i="206"/>
  <c r="K64" i="206"/>
  <c r="K50" i="206"/>
  <c r="K47" i="206"/>
  <c r="K45" i="206"/>
  <c r="K44" i="206"/>
  <c r="K36" i="206"/>
  <c r="K37" i="206"/>
  <c r="K38" i="206"/>
  <c r="L93" i="206" l="1"/>
  <c r="L96" i="206"/>
  <c r="L97" i="206"/>
  <c r="K78" i="206"/>
  <c r="J56" i="205"/>
  <c r="J19" i="206"/>
  <c r="K19" i="206" s="1"/>
  <c r="H20" i="206"/>
  <c r="J141" i="206"/>
  <c r="K141" i="206" s="1"/>
  <c r="J126" i="206"/>
  <c r="K126" i="206" s="1"/>
  <c r="L126" i="206" s="1"/>
  <c r="J66" i="206"/>
  <c r="K66" i="206" s="1"/>
  <c r="J24" i="206"/>
  <c r="K24" i="206" s="1"/>
  <c r="K54" i="206"/>
  <c r="H94" i="205"/>
  <c r="K127" i="206"/>
  <c r="K51" i="206"/>
  <c r="K35" i="206"/>
  <c r="K42" i="206" s="1"/>
  <c r="K124" i="206"/>
  <c r="K53" i="206"/>
  <c r="K117" i="206"/>
  <c r="K52" i="206"/>
  <c r="K88" i="206"/>
  <c r="K90" i="206" s="1"/>
  <c r="K130" i="206" l="1"/>
  <c r="J130" i="206"/>
  <c r="L54" i="206"/>
  <c r="L51" i="206"/>
  <c r="H16" i="206"/>
  <c r="H15" i="206"/>
  <c r="H12" i="206"/>
  <c r="K15" i="206"/>
  <c r="K14" i="206"/>
  <c r="K12" i="206"/>
  <c r="K11" i="206"/>
  <c r="K93" i="205"/>
  <c r="K94" i="205" s="1"/>
  <c r="H86" i="205"/>
  <c r="K82" i="205"/>
  <c r="K79" i="205"/>
  <c r="K76" i="205"/>
  <c r="K73" i="205"/>
  <c r="K68" i="205"/>
  <c r="K69" i="205"/>
  <c r="K61" i="205"/>
  <c r="K60" i="205"/>
  <c r="K59" i="205"/>
  <c r="J86" i="205" l="1"/>
  <c r="J16" i="206"/>
  <c r="K86" i="205" l="1"/>
  <c r="K88" i="205" s="1"/>
  <c r="I142" i="206"/>
  <c r="J142" i="206"/>
  <c r="J122" i="206"/>
  <c r="I20" i="206"/>
  <c r="J20" i="206"/>
  <c r="K142" i="206"/>
  <c r="L117" i="206"/>
  <c r="L115" i="206"/>
  <c r="L108" i="206"/>
  <c r="L88" i="206"/>
  <c r="K81" i="206"/>
  <c r="L81" i="206" s="1"/>
  <c r="L66" i="206"/>
  <c r="L65" i="206"/>
  <c r="L53" i="206"/>
  <c r="L52" i="206"/>
  <c r="L24" i="206"/>
  <c r="L19" i="206"/>
  <c r="K16" i="206"/>
  <c r="L16" i="206" s="1"/>
  <c r="L15" i="206"/>
  <c r="L12" i="206"/>
  <c r="H138" i="206"/>
  <c r="L93" i="205"/>
  <c r="L94" i="205" s="1"/>
  <c r="L82" i="205"/>
  <c r="L79" i="205"/>
  <c r="L76" i="205"/>
  <c r="L77" i="205" s="1"/>
  <c r="L61" i="205"/>
  <c r="L60" i="205"/>
  <c r="L59" i="205"/>
  <c r="K56" i="205"/>
  <c r="L56" i="205" s="1"/>
  <c r="K35" i="205"/>
  <c r="L35" i="205" s="1"/>
  <c r="K34" i="205"/>
  <c r="K33" i="205"/>
  <c r="L33" i="205" s="1"/>
  <c r="K30" i="205"/>
  <c r="L30" i="205" s="1"/>
  <c r="K29" i="205"/>
  <c r="L29" i="205" s="1"/>
  <c r="K25" i="205"/>
  <c r="L25" i="205" s="1"/>
  <c r="K24" i="205"/>
  <c r="K23" i="205"/>
  <c r="L23" i="205" s="1"/>
  <c r="K20" i="205"/>
  <c r="L20" i="205" s="1"/>
  <c r="K12" i="205"/>
  <c r="J41" i="205"/>
  <c r="J45" i="205"/>
  <c r="J49" i="205"/>
  <c r="I80" i="205"/>
  <c r="L31" i="205" l="1"/>
  <c r="L27" i="205"/>
  <c r="H139" i="206"/>
  <c r="J138" i="206"/>
  <c r="J38" i="205"/>
  <c r="K38" i="205" s="1"/>
  <c r="J27" i="205"/>
  <c r="J19" i="205"/>
  <c r="K19" i="205" s="1"/>
  <c r="L20" i="206"/>
  <c r="L34" i="205"/>
  <c r="L36" i="205" s="1"/>
  <c r="K31" i="205"/>
  <c r="K42" i="205"/>
  <c r="K45" i="205"/>
  <c r="I139" i="206"/>
  <c r="K41" i="205"/>
  <c r="K49" i="205"/>
  <c r="K20" i="206"/>
  <c r="L141" i="206"/>
  <c r="L142" i="206" s="1"/>
  <c r="K122" i="206"/>
  <c r="L72" i="206"/>
  <c r="L46" i="205"/>
  <c r="L24" i="205"/>
  <c r="K80" i="205"/>
  <c r="L80" i="205"/>
  <c r="K77" i="205"/>
  <c r="I77" i="205"/>
  <c r="I31" i="205"/>
  <c r="K27" i="205" l="1"/>
  <c r="L41" i="205"/>
  <c r="L38" i="205"/>
  <c r="L39" i="205" s="1"/>
  <c r="L42" i="205"/>
  <c r="L45" i="205"/>
  <c r="L47" i="205" s="1"/>
  <c r="L19" i="205"/>
  <c r="L21" i="205" s="1"/>
  <c r="L49" i="205"/>
  <c r="L50" i="205" s="1"/>
  <c r="K138" i="206"/>
  <c r="J139" i="206"/>
  <c r="J80" i="205"/>
  <c r="J31" i="205"/>
  <c r="J77" i="205"/>
  <c r="M62" i="206"/>
  <c r="L43" i="205" l="1"/>
  <c r="K139" i="206"/>
  <c r="L138" i="206"/>
  <c r="L139" i="206" s="1"/>
  <c r="M82" i="206"/>
  <c r="H38" i="206"/>
  <c r="H36" i="206"/>
  <c r="M33" i="206"/>
  <c r="M17" i="206"/>
  <c r="H80" i="205"/>
  <c r="H77" i="205"/>
  <c r="H80" i="206"/>
  <c r="H82" i="206" s="1"/>
  <c r="M142" i="206"/>
  <c r="H142" i="206"/>
  <c r="M139" i="206"/>
  <c r="M136" i="206"/>
  <c r="M130" i="206"/>
  <c r="M122" i="206"/>
  <c r="M106" i="206"/>
  <c r="M90" i="206"/>
  <c r="M78" i="206"/>
  <c r="M68" i="206"/>
  <c r="M20" i="206"/>
  <c r="J80" i="206" l="1"/>
  <c r="L36" i="206"/>
  <c r="I82" i="206"/>
  <c r="L38" i="206"/>
  <c r="H67" i="206"/>
  <c r="J67" i="206" s="1"/>
  <c r="K80" i="206" l="1"/>
  <c r="J82" i="206"/>
  <c r="K82" i="206" l="1"/>
  <c r="L80" i="206"/>
  <c r="L82" i="206" s="1"/>
  <c r="K67" i="206"/>
  <c r="K68" i="206" s="1"/>
  <c r="J68" i="206"/>
  <c r="L67" i="206" l="1"/>
  <c r="H45" i="206"/>
  <c r="H46" i="206"/>
  <c r="H47" i="206"/>
  <c r="H50" i="206"/>
  <c r="L47" i="206" l="1"/>
  <c r="L45" i="206"/>
  <c r="L50" i="206"/>
  <c r="H75" i="206"/>
  <c r="L75" i="206" l="1"/>
  <c r="K46" i="206"/>
  <c r="K62" i="206" s="1"/>
  <c r="L46" i="206" l="1"/>
  <c r="I39" i="205" l="1"/>
  <c r="K39" i="205"/>
  <c r="H70" i="206"/>
  <c r="J39" i="205" l="1"/>
  <c r="L70" i="206" l="1"/>
  <c r="H73" i="206"/>
  <c r="L73" i="206" l="1"/>
  <c r="L132" i="206" l="1"/>
  <c r="H8" i="206"/>
  <c r="H124" i="206"/>
  <c r="H125" i="206"/>
  <c r="L125" i="206" s="1"/>
  <c r="H127" i="206"/>
  <c r="L127" i="206" s="1"/>
  <c r="H109" i="206"/>
  <c r="H110" i="206"/>
  <c r="H94" i="206"/>
  <c r="L94" i="206" s="1"/>
  <c r="H95" i="206"/>
  <c r="H98" i="206"/>
  <c r="L98" i="206" s="1"/>
  <c r="H99" i="206"/>
  <c r="H100" i="206"/>
  <c r="L100" i="206" s="1"/>
  <c r="H102" i="206"/>
  <c r="L102" i="206" s="1"/>
  <c r="H103" i="206"/>
  <c r="L103" i="206" s="1"/>
  <c r="H92" i="206"/>
  <c r="H85" i="206"/>
  <c r="H86" i="206"/>
  <c r="H87" i="206"/>
  <c r="H84" i="206"/>
  <c r="H71" i="206"/>
  <c r="H78" i="206" s="1"/>
  <c r="H74" i="206"/>
  <c r="H64" i="206"/>
  <c r="H68" i="206" s="1"/>
  <c r="H44" i="206"/>
  <c r="H62" i="206" s="1"/>
  <c r="H35" i="206"/>
  <c r="H42" i="206" s="1"/>
  <c r="H37" i="206"/>
  <c r="H30" i="206"/>
  <c r="H28" i="206"/>
  <c r="H33" i="206" s="1"/>
  <c r="H22" i="206"/>
  <c r="H26" i="206" s="1"/>
  <c r="H23" i="206"/>
  <c r="J23" i="206" s="1"/>
  <c r="H10" i="206"/>
  <c r="J10" i="206" s="1"/>
  <c r="H11" i="206"/>
  <c r="H14" i="206"/>
  <c r="H90" i="205"/>
  <c r="J90" i="205" s="1"/>
  <c r="H87" i="205"/>
  <c r="H88" i="205" s="1"/>
  <c r="L86" i="205"/>
  <c r="H83" i="205"/>
  <c r="H84" i="205" s="1"/>
  <c r="H73" i="205"/>
  <c r="H72" i="205"/>
  <c r="H74" i="205" s="1"/>
  <c r="H68" i="205"/>
  <c r="H69" i="205"/>
  <c r="H67" i="205"/>
  <c r="H64" i="205"/>
  <c r="H58" i="205"/>
  <c r="H57" i="205"/>
  <c r="H62" i="205" s="1"/>
  <c r="H106" i="206" l="1"/>
  <c r="H122" i="206"/>
  <c r="H17" i="206"/>
  <c r="H90" i="206"/>
  <c r="H130" i="206"/>
  <c r="J64" i="205"/>
  <c r="H65" i="205"/>
  <c r="H70" i="205"/>
  <c r="J30" i="206"/>
  <c r="K30" i="206" s="1"/>
  <c r="L30" i="206" s="1"/>
  <c r="K99" i="206"/>
  <c r="L99" i="206" s="1"/>
  <c r="J95" i="206"/>
  <c r="J106" i="206" s="1"/>
  <c r="J58" i="205"/>
  <c r="K58" i="205" s="1"/>
  <c r="J67" i="205"/>
  <c r="K67" i="205" s="1"/>
  <c r="J72" i="205"/>
  <c r="K72" i="205" s="1"/>
  <c r="J57" i="205"/>
  <c r="K57" i="205" s="1"/>
  <c r="J87" i="205"/>
  <c r="J88" i="205" s="1"/>
  <c r="J28" i="206"/>
  <c r="J33" i="206" s="1"/>
  <c r="J22" i="206"/>
  <c r="J8" i="206"/>
  <c r="J17" i="206" s="1"/>
  <c r="J11" i="205"/>
  <c r="J14" i="205" s="1"/>
  <c r="I68" i="206"/>
  <c r="I62" i="206"/>
  <c r="K16" i="205"/>
  <c r="L121" i="206"/>
  <c r="K83" i="205"/>
  <c r="K64" i="205"/>
  <c r="L86" i="206"/>
  <c r="L85" i="206"/>
  <c r="L116" i="206"/>
  <c r="I88" i="205"/>
  <c r="L118" i="206"/>
  <c r="L69" i="205"/>
  <c r="K134" i="206"/>
  <c r="L114" i="206"/>
  <c r="L12" i="205"/>
  <c r="L68" i="205"/>
  <c r="L74" i="206"/>
  <c r="L133" i="206"/>
  <c r="L73" i="205"/>
  <c r="L11" i="206"/>
  <c r="K23" i="206"/>
  <c r="K90" i="205"/>
  <c r="L14" i="206"/>
  <c r="L110" i="206"/>
  <c r="L37" i="206"/>
  <c r="L120" i="206"/>
  <c r="K10" i="206"/>
  <c r="L87" i="206"/>
  <c r="L119" i="206"/>
  <c r="I36" i="205"/>
  <c r="K36" i="205"/>
  <c r="K43" i="205"/>
  <c r="I43" i="205"/>
  <c r="I47" i="205"/>
  <c r="H91" i="205"/>
  <c r="L58" i="205" l="1"/>
  <c r="L92" i="206"/>
  <c r="I106" i="206"/>
  <c r="L71" i="206"/>
  <c r="L78" i="206" s="1"/>
  <c r="I78" i="206"/>
  <c r="I17" i="206"/>
  <c r="I42" i="206"/>
  <c r="I90" i="206"/>
  <c r="H144" i="206"/>
  <c r="I33" i="206"/>
  <c r="L16" i="205"/>
  <c r="I130" i="206"/>
  <c r="I26" i="206"/>
  <c r="J26" i="206"/>
  <c r="L44" i="206"/>
  <c r="L62" i="206" s="1"/>
  <c r="L64" i="206"/>
  <c r="L68" i="206" s="1"/>
  <c r="I74" i="205"/>
  <c r="I70" i="205"/>
  <c r="L72" i="205"/>
  <c r="L74" i="205" s="1"/>
  <c r="K11" i="205"/>
  <c r="K14" i="205" s="1"/>
  <c r="L90" i="205"/>
  <c r="L91" i="205" s="1"/>
  <c r="L57" i="205"/>
  <c r="L62" i="205" s="1"/>
  <c r="L67" i="205"/>
  <c r="L70" i="205" s="1"/>
  <c r="L83" i="205"/>
  <c r="L134" i="206"/>
  <c r="L10" i="206"/>
  <c r="L64" i="205"/>
  <c r="L65" i="205" s="1"/>
  <c r="L23" i="206"/>
  <c r="L87" i="205"/>
  <c r="L88" i="205" s="1"/>
  <c r="I122" i="206"/>
  <c r="I62" i="205"/>
  <c r="L109" i="206"/>
  <c r="L122" i="206" s="1"/>
  <c r="K22" i="206"/>
  <c r="K26" i="206" s="1"/>
  <c r="K95" i="206"/>
  <c r="L95" i="206" s="1"/>
  <c r="K8" i="206"/>
  <c r="K17" i="206" s="1"/>
  <c r="L84" i="206"/>
  <c r="L90" i="206" s="1"/>
  <c r="K28" i="206"/>
  <c r="K33" i="206" s="1"/>
  <c r="L35" i="206"/>
  <c r="L42" i="206" s="1"/>
  <c r="L124" i="206"/>
  <c r="L130" i="206" s="1"/>
  <c r="K62" i="205"/>
  <c r="K70" i="205"/>
  <c r="I84" i="205"/>
  <c r="K84" i="205"/>
  <c r="J74" i="205"/>
  <c r="J70" i="205"/>
  <c r="J47" i="205"/>
  <c r="J36" i="205"/>
  <c r="J62" i="205"/>
  <c r="I91" i="205"/>
  <c r="K91" i="205"/>
  <c r="I17" i="205"/>
  <c r="K17" i="205"/>
  <c r="I65" i="205"/>
  <c r="K65" i="205"/>
  <c r="I21" i="205"/>
  <c r="K21" i="205"/>
  <c r="K74" i="205"/>
  <c r="J43" i="205"/>
  <c r="K47" i="205"/>
  <c r="L106" i="206" l="1"/>
  <c r="L84" i="205"/>
  <c r="L105" i="205"/>
  <c r="K106" i="206"/>
  <c r="L17" i="205"/>
  <c r="L11" i="205"/>
  <c r="L22" i="206"/>
  <c r="L28" i="206"/>
  <c r="L8" i="206"/>
  <c r="J21" i="205"/>
  <c r="J65" i="205"/>
  <c r="J91" i="205"/>
  <c r="J84" i="205"/>
  <c r="J17" i="205"/>
  <c r="K157" i="206" l="1"/>
  <c r="L26" i="206"/>
  <c r="L17" i="206"/>
  <c r="L33" i="206"/>
  <c r="K156" i="206"/>
  <c r="L106" i="205"/>
  <c r="L14" i="205"/>
  <c r="I50" i="205"/>
  <c r="K50" i="205"/>
  <c r="J50" i="205" l="1"/>
  <c r="M42" i="215" l="1"/>
  <c r="H50" i="205" l="1"/>
  <c r="H96" i="205" s="1"/>
  <c r="D55" i="2"/>
  <c r="D58" i="2"/>
  <c r="D56" i="2"/>
  <c r="D54" i="2"/>
  <c r="D57" i="2"/>
  <c r="D60" i="2"/>
  <c r="D63" i="2"/>
  <c r="D62" i="2"/>
  <c r="D61" i="2"/>
  <c r="D59" i="2"/>
  <c r="D53" i="2"/>
  <c r="J96" i="205" l="1"/>
  <c r="K52" i="205"/>
  <c r="K54" i="205" s="1"/>
  <c r="I54" i="205"/>
  <c r="I96" i="205" l="1"/>
  <c r="K96" i="205"/>
  <c r="L52" i="205"/>
  <c r="L54" i="205" l="1"/>
  <c r="L107" i="205"/>
  <c r="L96" i="205"/>
  <c r="L157" i="206" l="1"/>
  <c r="M157" i="206" s="1"/>
  <c r="L108" i="205"/>
  <c r="L109" i="205"/>
  <c r="K135" i="206"/>
  <c r="K136" i="206" s="1"/>
  <c r="K144" i="206" s="1"/>
  <c r="I136" i="206" l="1"/>
  <c r="I144" i="206" s="1"/>
  <c r="J136" i="206"/>
  <c r="J144" i="206" s="1"/>
  <c r="L135" i="206" l="1"/>
  <c r="L136" i="206" l="1"/>
  <c r="K155" i="206"/>
  <c r="K158" i="206" s="1"/>
  <c r="L144" i="206"/>
  <c r="M40" i="215" l="1"/>
  <c r="M44" i="215" s="1"/>
  <c r="E40" i="215"/>
  <c r="E44" i="215" l="1"/>
  <c r="M46" i="215" s="1"/>
  <c r="K159" i="206"/>
</calcChain>
</file>

<file path=xl/sharedStrings.xml><?xml version="1.0" encoding="utf-8"?>
<sst xmlns="http://schemas.openxmlformats.org/spreadsheetml/2006/main" count="963" uniqueCount="491">
  <si>
    <t>P E R C E P C I O N E S</t>
  </si>
  <si>
    <t>Sueldo</t>
  </si>
  <si>
    <t xml:space="preserve">  %</t>
  </si>
  <si>
    <t>I.S.R.</t>
  </si>
  <si>
    <t>T A R I F A</t>
  </si>
  <si>
    <t>Limite</t>
  </si>
  <si>
    <t>Inferior</t>
  </si>
  <si>
    <t>Cuota</t>
  </si>
  <si>
    <t>Fija</t>
  </si>
  <si>
    <t>S/Excedente</t>
  </si>
  <si>
    <t>De.......A</t>
  </si>
  <si>
    <t>Credito al</t>
  </si>
  <si>
    <t>Salario</t>
  </si>
  <si>
    <t>NOTA:</t>
  </si>
  <si>
    <t>Nombre</t>
  </si>
  <si>
    <t>Trab.</t>
  </si>
  <si>
    <t>diario</t>
  </si>
  <si>
    <t>T O T A L E S</t>
  </si>
  <si>
    <t>CONVERSION DE TABLAS A QUINCENALES</t>
  </si>
  <si>
    <t>SUBSIDO AL EMPLEO</t>
  </si>
  <si>
    <t>MENSUAL</t>
  </si>
  <si>
    <t>Subsidio al</t>
  </si>
  <si>
    <t>Empleo</t>
  </si>
  <si>
    <t>SUBSIDIO AL</t>
  </si>
  <si>
    <t>EMPLEO</t>
  </si>
  <si>
    <t>TABLAS DE TARIFA Y SUBSIDIO AL EMPLEO PARA CALCULO DE I.S.P.T.</t>
  </si>
  <si>
    <t>NOMBRE DE LA EMPRESA</t>
  </si>
  <si>
    <t>NOMBRAMIENTO</t>
  </si>
  <si>
    <t xml:space="preserve"> </t>
  </si>
  <si>
    <t>PENSIONADOS</t>
  </si>
  <si>
    <t>PENSIONADO</t>
  </si>
  <si>
    <t>J Trinidad Flores Cocolán</t>
  </si>
  <si>
    <t>Raúl Rodríguez Navarro</t>
  </si>
  <si>
    <t>Sub - Total</t>
  </si>
  <si>
    <t>HACIENDA PUBLICA</t>
  </si>
  <si>
    <t>Director</t>
  </si>
  <si>
    <t>SERVICIOS PUBLICOS</t>
  </si>
  <si>
    <t>Electricista</t>
  </si>
  <si>
    <t>Recolector</t>
  </si>
  <si>
    <t>CASA DE LA CULTURA</t>
  </si>
  <si>
    <t>Secretaria</t>
  </si>
  <si>
    <t>Recepcionista</t>
  </si>
  <si>
    <t>Auxiliar</t>
  </si>
  <si>
    <t>PARQUES Y JARDINES</t>
  </si>
  <si>
    <t>AGUA POTABLE Y ALCANTARILLADO</t>
  </si>
  <si>
    <t>CEMENTERIO</t>
  </si>
  <si>
    <t>OFICIALIA MAYOR</t>
  </si>
  <si>
    <t>Chofer</t>
  </si>
  <si>
    <t>Chofer Urvan</t>
  </si>
  <si>
    <t>Chofer Camión</t>
  </si>
  <si>
    <t>DELEGACION EL AMARILLO</t>
  </si>
  <si>
    <t>Delegado</t>
  </si>
  <si>
    <t>DELEGACION LA VEGA</t>
  </si>
  <si>
    <t>DELEGACION LA ESTANZUELA</t>
  </si>
  <si>
    <t>Intendente</t>
  </si>
  <si>
    <t>DELEGACION LA MORA</t>
  </si>
  <si>
    <t>Jardinero</t>
  </si>
  <si>
    <t>RASTRO MUNICIPAL</t>
  </si>
  <si>
    <t>Inspector</t>
  </si>
  <si>
    <t>OBRAS PUBLICAS</t>
  </si>
  <si>
    <t>Encargado</t>
  </si>
  <si>
    <t>Chofer Camión Basura</t>
  </si>
  <si>
    <t>Mtto. Campo Futbol</t>
  </si>
  <si>
    <t>Aseo Río</t>
  </si>
  <si>
    <t>PADRON Y LICENCIAS</t>
  </si>
  <si>
    <t>Fontanero</t>
  </si>
  <si>
    <t>Enc. Bomba</t>
  </si>
  <si>
    <t>Enc. Limp. Áreas verdes</t>
  </si>
  <si>
    <t>Matancero</t>
  </si>
  <si>
    <t>Barrendera</t>
  </si>
  <si>
    <t>Enc. Jardines</t>
  </si>
  <si>
    <t>Enc. De bomba</t>
  </si>
  <si>
    <t>Enc bomba Chora</t>
  </si>
  <si>
    <t>SISTEMAS</t>
  </si>
  <si>
    <t>J. Jesús Sánchez</t>
  </si>
  <si>
    <t>DEPORTES</t>
  </si>
  <si>
    <t>PROM. ECONOMICA Y PART. CIUDADANA</t>
  </si>
  <si>
    <t>Enc. De la hacienda</t>
  </si>
  <si>
    <t>CATASTRO</t>
  </si>
  <si>
    <t>TRANSPARENCIA</t>
  </si>
  <si>
    <t>Aux. Legal</t>
  </si>
  <si>
    <t>Aux. Agropecuario</t>
  </si>
  <si>
    <t>Limpieza</t>
  </si>
  <si>
    <t>Luis Santos Oliva</t>
  </si>
  <si>
    <t>MEDIO AMBIENTE</t>
  </si>
  <si>
    <t xml:space="preserve">Jefe de No Antec. Penales </t>
  </si>
  <si>
    <t>Titular Ce-Mujer</t>
  </si>
  <si>
    <t>Presidente Municipal</t>
  </si>
  <si>
    <t>CONTRALORIA</t>
  </si>
  <si>
    <t>Contralor</t>
  </si>
  <si>
    <t>EFECTIVO</t>
  </si>
  <si>
    <t>TARJETA</t>
  </si>
  <si>
    <t>Sueldo quincenal</t>
  </si>
  <si>
    <t>Veterinario</t>
  </si>
  <si>
    <t>Limpieza panteón</t>
  </si>
  <si>
    <t>APOYOS A INSTITUCIONES EDUCATIVAS</t>
  </si>
  <si>
    <t>Velador primaria la Estanzuela</t>
  </si>
  <si>
    <t>Velador Secundaria la Estanzuela</t>
  </si>
  <si>
    <t xml:space="preserve">         ENC. DE LA HACIENDA MUNICIPAL</t>
  </si>
  <si>
    <t>Velador Casa del andador</t>
  </si>
  <si>
    <t>Director Reg. Civil</t>
  </si>
  <si>
    <t>Ayudante de electricista</t>
  </si>
  <si>
    <t>Chofer camión de basura</t>
  </si>
  <si>
    <t>Juventud</t>
  </si>
  <si>
    <t>Auxiliar de salud</t>
  </si>
  <si>
    <t>Secretario particular</t>
  </si>
  <si>
    <t>Intendente Esc. Especial</t>
  </si>
  <si>
    <t>Secretario</t>
  </si>
  <si>
    <t>Barrendero</t>
  </si>
  <si>
    <t>Velador Estación</t>
  </si>
  <si>
    <t>Enc. Del sistema de agua potable</t>
  </si>
  <si>
    <t>Oficial Mayor</t>
  </si>
  <si>
    <t>Enc. De Bomba La higuerita</t>
  </si>
  <si>
    <t>Sub-Total</t>
  </si>
  <si>
    <t>Encargado campo de futbol</t>
  </si>
  <si>
    <t xml:space="preserve">Recolector </t>
  </si>
  <si>
    <t>Encargado de bomba</t>
  </si>
  <si>
    <t>Barrendera Plaza</t>
  </si>
  <si>
    <t>Promotor de deportes</t>
  </si>
  <si>
    <t>Jefe de Ingresos</t>
  </si>
  <si>
    <t>Jefa Egresos</t>
  </si>
  <si>
    <t>Secretario General</t>
  </si>
  <si>
    <t>APOYOS A INSTITUCIONES DE SALUD</t>
  </si>
  <si>
    <t>Aseo Centro de Salud Lucio Blanco</t>
  </si>
  <si>
    <t>Juana Salazar Flores</t>
  </si>
  <si>
    <t>Marlene Elizabeth Tadeo Bañuelos</t>
  </si>
  <si>
    <t xml:space="preserve">            PRESIDENTE MUNICIPAL</t>
  </si>
  <si>
    <t>TOTALES</t>
  </si>
  <si>
    <t>Intendente del Centro de Salud</t>
  </si>
  <si>
    <t>Adriana Loera Salazar</t>
  </si>
  <si>
    <t>Intendente Jardín de niños</t>
  </si>
  <si>
    <t>Días</t>
  </si>
  <si>
    <t>Núm..</t>
  </si>
  <si>
    <t>Héctor Emmanuel Corrales Benítez</t>
  </si>
  <si>
    <t>total percepción</t>
  </si>
  <si>
    <t xml:space="preserve"> Afanadora Kínder Lucio Blanco</t>
  </si>
  <si>
    <t>Aux. Kínder Lucio Blanco</t>
  </si>
  <si>
    <t xml:space="preserve"> PRESIDENTE MUNICIPAL</t>
  </si>
  <si>
    <t>Aux. Kinder Tehozitan</t>
  </si>
  <si>
    <t>Mtto. del campo de futbol La estanzuela</t>
  </si>
  <si>
    <t>Roberto Morán Rodríguez</t>
  </si>
  <si>
    <t>Jose de Jesús Gallo Torres</t>
  </si>
  <si>
    <t>REGISTRO CIVIL</t>
  </si>
  <si>
    <t>Román Murguía Rojas</t>
  </si>
  <si>
    <t>Irma Cecilia Fernandez Hernandez</t>
  </si>
  <si>
    <t>Capturista</t>
  </si>
  <si>
    <t>Intendete en primaria Miguel Hidalgo y Costilla</t>
  </si>
  <si>
    <t>Intendente Jardin de niños Vicente Guerrero</t>
  </si>
  <si>
    <t>Ma Eduwiges Reyes Ballesteros</t>
  </si>
  <si>
    <t>Aseo centro de salud La Estanzuela</t>
  </si>
  <si>
    <t>Antonia Vizcarra Hernandez</t>
  </si>
  <si>
    <t>Juana Mendoza Moran</t>
  </si>
  <si>
    <t>Directora</t>
  </si>
  <si>
    <t>Ma. Del Carmen Solorzano Bautista</t>
  </si>
  <si>
    <t>Ma. de Jesús Contreras Lomelí</t>
  </si>
  <si>
    <t>Berenice Silva Zepeda</t>
  </si>
  <si>
    <t>Jose Refugio Carmona Martinez</t>
  </si>
  <si>
    <t>Jose Luis  Mendez Hernandez</t>
  </si>
  <si>
    <t>Fernando Fuentes Gonzalez</t>
  </si>
  <si>
    <t>Susana Meza Flores</t>
  </si>
  <si>
    <t>Lilia Elizabeth González Ponce</t>
  </si>
  <si>
    <t>Edson Alejandro Gallegos Rosales</t>
  </si>
  <si>
    <t>Alejandra Soto Villalobos</t>
  </si>
  <si>
    <t>Jorge Humberto Camberos García</t>
  </si>
  <si>
    <t>Luis Manuel Camarena Ávila</t>
  </si>
  <si>
    <t>Juan Fernando Medina Corona</t>
  </si>
  <si>
    <t>Ana Rosa Sánchez Silva</t>
  </si>
  <si>
    <t>Brenda Guadalupe García Amezcua</t>
  </si>
  <si>
    <t>Lisandro Fabián Núñez Loera</t>
  </si>
  <si>
    <t>Adriana Martínez Carrillo</t>
  </si>
  <si>
    <t>Magdaleno Rosales Gallo</t>
  </si>
  <si>
    <t>Irma Ramírez Orozco</t>
  </si>
  <si>
    <t>J. Jesús Hernández Vázquez</t>
  </si>
  <si>
    <t>Enrique Ortega Ascencio</t>
  </si>
  <si>
    <t>Jesús Emmanuel Gómez Medina</t>
  </si>
  <si>
    <t>María Guadalupe Zepeda Ocampo</t>
  </si>
  <si>
    <t>Oswaldo Cuarenta Hernández</t>
  </si>
  <si>
    <t>Rubén Zepeda Álvarez</t>
  </si>
  <si>
    <t>Ma. De Lourdes Sánchez Meza</t>
  </si>
  <si>
    <t>Arianna Janet Huerta Parra</t>
  </si>
  <si>
    <t>Juan Antonio Lozano Meza</t>
  </si>
  <si>
    <t>Edgar Alfredo Gallegos Cuarenta</t>
  </si>
  <si>
    <t>Daniela Alejandra Ulloa Delgadillo</t>
  </si>
  <si>
    <t>José Najar Rizo</t>
  </si>
  <si>
    <t>Ma. Consuelo Hernández González</t>
  </si>
  <si>
    <t>Ana Isabel Lozano Sánchez</t>
  </si>
  <si>
    <t>Sandra Navarro Mendoza</t>
  </si>
  <si>
    <t>Ygnacio Celis Vizcarra</t>
  </si>
  <si>
    <t>Gustavo Ramirez Sánchez</t>
  </si>
  <si>
    <t>Alejandro Serrano Sandoval</t>
  </si>
  <si>
    <t>Cesar Castellón Santos</t>
  </si>
  <si>
    <t>Pedro Damián Ruelas Rubio</t>
  </si>
  <si>
    <t>Jorge Iván Gallegos Rosales</t>
  </si>
  <si>
    <t>Fausto Torres González</t>
  </si>
  <si>
    <t>Francisco Ávila Ramirez</t>
  </si>
  <si>
    <t>Javier Saavedra Ávila</t>
  </si>
  <si>
    <t>Lorenzo Chávez Saavedra</t>
  </si>
  <si>
    <t>María del Socorro Almaraz Reyes</t>
  </si>
  <si>
    <t>Laura Elena Torres Ramirez</t>
  </si>
  <si>
    <t>Rosalba Márquez Camarena</t>
  </si>
  <si>
    <t>Rigoberto Santos Becerra</t>
  </si>
  <si>
    <t>Luzvi Mireya Avalos Espinoza</t>
  </si>
  <si>
    <t>José de Jesús Venegas Rodríguez</t>
  </si>
  <si>
    <t>Adelaida Montes Barbosa</t>
  </si>
  <si>
    <t>María Luisa Jiménez Virgen</t>
  </si>
  <si>
    <t>Margarita Gutiérrez Rizo</t>
  </si>
  <si>
    <t>Cipriano Blanco Candelario</t>
  </si>
  <si>
    <t>Abelino Rivera Hernández</t>
  </si>
  <si>
    <t>J. Jesús Velazquez Moya</t>
  </si>
  <si>
    <t>Juan Gabriel Tovar Salazar</t>
  </si>
  <si>
    <t>José de Jesús Murillo Sandoval</t>
  </si>
  <si>
    <t>Elena Anguiano Rubio</t>
  </si>
  <si>
    <t>José Antonio Rivera Gallegos</t>
  </si>
  <si>
    <t>Ramiro Oliva Vázquez</t>
  </si>
  <si>
    <t>Adriana Aguilera Amaral</t>
  </si>
  <si>
    <t>Juan Ramirez Caratachia</t>
  </si>
  <si>
    <t>Juan Pedro Plascencia Gómez</t>
  </si>
  <si>
    <t>Oswaldo Gallegos Muñoz</t>
  </si>
  <si>
    <t>Baudelio González Lara</t>
  </si>
  <si>
    <t>J. Isabel Rosales Solorzano</t>
  </si>
  <si>
    <t>Felipe Hernandez Gonzalez</t>
  </si>
  <si>
    <t>Juan Antonio Ramirez Trigueros</t>
  </si>
  <si>
    <t>Gabriel Oliva Sánchez</t>
  </si>
  <si>
    <t>Jorge Humberto Gómez Ramirez</t>
  </si>
  <si>
    <t>Mario Pedro Soto Alvarado</t>
  </si>
  <si>
    <t>Margarita Barrera Ruiz</t>
  </si>
  <si>
    <t>Francisco Ortega Rojas</t>
  </si>
  <si>
    <t>Francisco Rodríguez  Ojeda</t>
  </si>
  <si>
    <t>Rigoberto Valdez Orozco</t>
  </si>
  <si>
    <t>Ernesto Ávila Hernández</t>
  </si>
  <si>
    <t>Brenda Mireya Silva Torres</t>
  </si>
  <si>
    <t>Bernardette Casillas Santiago</t>
  </si>
  <si>
    <t>Sandra Erika Santos Becerra</t>
  </si>
  <si>
    <t>Javier Guadalupe Delgado Contreras</t>
  </si>
  <si>
    <t>J. Guadalupe Saavedra López</t>
  </si>
  <si>
    <t>José de Jesús Casillas Toscano</t>
  </si>
  <si>
    <t>Mercedes Candelaria Pezqueda Rosales</t>
  </si>
  <si>
    <t>Evelin López Virgen</t>
  </si>
  <si>
    <t>Arturo Tejeda Ibarra</t>
  </si>
  <si>
    <t>Aniceto Cedano Sánchez</t>
  </si>
  <si>
    <t>Salvador Rivera Venegas</t>
  </si>
  <si>
    <t>José de Jesús Santos Martínez</t>
  </si>
  <si>
    <t>Juan Moiscés Ocaranza Flores</t>
  </si>
  <si>
    <t>Humberto Sierra Contreras</t>
  </si>
  <si>
    <t>Juan Lozano Vázquez</t>
  </si>
  <si>
    <t>Héctor Martin Soto Escobedo</t>
  </si>
  <si>
    <t>José de Jesús Tapia Maciel</t>
  </si>
  <si>
    <t>Ocday Mendoza Morán</t>
  </si>
  <si>
    <t>Ramón Echeverria Aldaz</t>
  </si>
  <si>
    <t>Leticia Espinoza Trigueros</t>
  </si>
  <si>
    <t>Luz Evelia Flores Jiménez</t>
  </si>
  <si>
    <t>Silvia Olvera Zúñiga</t>
  </si>
  <si>
    <t>Victoriano Rosales Solorzano</t>
  </si>
  <si>
    <t xml:space="preserve">Nora Guadalupe Meza Camarillo </t>
  </si>
  <si>
    <t>Eva Rodríguez Flores</t>
  </si>
  <si>
    <t>Rebeca Partida Sánchez</t>
  </si>
  <si>
    <t>Ana Bertha Miramontes Cervantes</t>
  </si>
  <si>
    <t>Prudencio Aguayo Dueñas</t>
  </si>
  <si>
    <t>Laura Martínez Santiago</t>
  </si>
  <si>
    <t>Roberto Antonio García Aguayo</t>
  </si>
  <si>
    <t xml:space="preserve">Auxiliar </t>
  </si>
  <si>
    <t>Sara Flores Cocolán</t>
  </si>
  <si>
    <t xml:space="preserve">Sebastián Gómez Pulido </t>
  </si>
  <si>
    <t>Mecánico</t>
  </si>
  <si>
    <t>Lucia Sierra Celis</t>
  </si>
  <si>
    <t>Encargada de Archivo y Patrimonio Municipal</t>
  </si>
  <si>
    <t>Raúl del Ángel Solórzano Vázquez</t>
  </si>
  <si>
    <t>C. Irma Cecilia Fernández Hernández</t>
  </si>
  <si>
    <t>Gabriela Berenice Castro Aguilar</t>
  </si>
  <si>
    <t>Directora Turismo</t>
  </si>
  <si>
    <t>Josseline Moran Diaz</t>
  </si>
  <si>
    <t>Auxiliar de Cultura</t>
  </si>
  <si>
    <t>Jaime Ortega Saavedra</t>
  </si>
  <si>
    <t>Total Remunerac</t>
  </si>
  <si>
    <t>Puesto</t>
  </si>
  <si>
    <t>Sueldo Quincenal</t>
  </si>
  <si>
    <t>Total Deducc.</t>
  </si>
  <si>
    <t>DIAS</t>
  </si>
  <si>
    <t>Sueldo Diario</t>
  </si>
  <si>
    <t>No.</t>
  </si>
  <si>
    <t>PRESIDENTE MUNICIPAL</t>
  </si>
  <si>
    <t>L.C.P. IRMA CECILIA FERNÁNDEZ HERNÁNDEZ</t>
  </si>
  <si>
    <t>ENC. DE LA HACIENDA PÚBLICA</t>
  </si>
  <si>
    <t>F  I  R  M  A</t>
  </si>
  <si>
    <t>F i r m a</t>
  </si>
  <si>
    <t>Total Remunerac.</t>
  </si>
  <si>
    <t>MUNICIPIO DE TEUCHITLAN JALISCO</t>
  </si>
  <si>
    <t>PERSONAL DE BASE    (113)</t>
  </si>
  <si>
    <t>PERSONAL EVENTUAL:    (122)</t>
  </si>
  <si>
    <t>DIF</t>
  </si>
  <si>
    <t>TOTAL</t>
  </si>
  <si>
    <t>Subsidio al Empleo</t>
  </si>
  <si>
    <t>ISR Salarios</t>
  </si>
  <si>
    <t>DESARROLLO AGROPECUARIO</t>
  </si>
  <si>
    <t>C.Irma Cecilia Fernández Hernández</t>
  </si>
  <si>
    <t>PAGAR</t>
  </si>
  <si>
    <t xml:space="preserve">A </t>
  </si>
  <si>
    <t>F I R M A</t>
  </si>
  <si>
    <t>Ma. Del Socorro Cuarenta Flores</t>
  </si>
  <si>
    <t>Orden de pago</t>
  </si>
  <si>
    <t>TOTAL A PAGAR</t>
  </si>
  <si>
    <t>Efectivo</t>
  </si>
  <si>
    <t>Tarjeta</t>
  </si>
  <si>
    <t>Horas</t>
  </si>
  <si>
    <t>TARIFA</t>
  </si>
  <si>
    <t>Crédito</t>
  </si>
  <si>
    <t>Subsidio al empleo</t>
  </si>
  <si>
    <t xml:space="preserve">D E D U C C I O N E S </t>
  </si>
  <si>
    <t>Bono por</t>
  </si>
  <si>
    <t>Comisiones</t>
  </si>
  <si>
    <t>Otros</t>
  </si>
  <si>
    <t>Otros exentos</t>
  </si>
  <si>
    <t>Extras</t>
  </si>
  <si>
    <t>Base</t>
  </si>
  <si>
    <t>Excedente</t>
  </si>
  <si>
    <t>%/S exced.</t>
  </si>
  <si>
    <t>Impuesto</t>
  </si>
  <si>
    <t xml:space="preserve">Al </t>
  </si>
  <si>
    <t>a Cargo</t>
  </si>
  <si>
    <t>I.S.P.T.</t>
  </si>
  <si>
    <t>I.M.S.S.</t>
  </si>
  <si>
    <t>Fondo de</t>
  </si>
  <si>
    <t>Prestamos</t>
  </si>
  <si>
    <t>Total deduc.</t>
  </si>
  <si>
    <t>Asistencia</t>
  </si>
  <si>
    <t>Puntualidad</t>
  </si>
  <si>
    <t>Gravados</t>
  </si>
  <si>
    <t>Gravadas</t>
  </si>
  <si>
    <t>Gravable</t>
  </si>
  <si>
    <t>Limite Inf.</t>
  </si>
  <si>
    <t>Marginal</t>
  </si>
  <si>
    <t>Bruto</t>
  </si>
  <si>
    <r>
      <t>o</t>
    </r>
    <r>
      <rPr>
        <sz val="10"/>
        <color indexed="10"/>
        <rFont val="Arial"/>
        <family val="2"/>
      </rPr>
      <t xml:space="preserve"> (A Favor)</t>
    </r>
  </si>
  <si>
    <t>Infonavit</t>
  </si>
  <si>
    <t>Ahorro</t>
  </si>
  <si>
    <t xml:space="preserve">       ENC. DE LA HACIENDA PUBLICA</t>
  </si>
  <si>
    <t xml:space="preserve">  </t>
  </si>
  <si>
    <t>Maria Taide Rodriguez Santos</t>
  </si>
  <si>
    <t>Aseo Centro de Salud Municipal</t>
  </si>
  <si>
    <t>EF</t>
  </si>
  <si>
    <t>Recaudadora de Agua Potable</t>
  </si>
  <si>
    <t>Maria del Refugio Sanchez Ortega</t>
  </si>
  <si>
    <t>Irene Oliva Reyes</t>
  </si>
  <si>
    <t>Erica Daniela Plascencia Nava</t>
  </si>
  <si>
    <t>Imelda Virgen Perez</t>
  </si>
  <si>
    <t>Operador de Maquinaria</t>
  </si>
  <si>
    <t>Jose Armando Ibarra Becerra</t>
  </si>
  <si>
    <t>Bartolome Ramon Ledezma Curiel</t>
  </si>
  <si>
    <t>Luis Alberto Rivera Ulloa</t>
  </si>
  <si>
    <t>Juan Alfredo Veliz Frias</t>
  </si>
  <si>
    <t>Avelino Trigueros Salazar</t>
  </si>
  <si>
    <t>Paola Esmeralda Flores Cocolan</t>
  </si>
  <si>
    <t>Aseo en el rio</t>
  </si>
  <si>
    <t>MUNICIPIO DE: TEUCHITLÁN JALISCO</t>
  </si>
  <si>
    <t>Otras Deducciones</t>
  </si>
  <si>
    <t xml:space="preserve">Tonantzin Selene Moya Márquez </t>
  </si>
  <si>
    <t>Regidor</t>
  </si>
  <si>
    <t xml:space="preserve">Osvaldo Eliu Reyes Tapia </t>
  </si>
  <si>
    <t xml:space="preserve">María Paloma Rodriguez Reyes </t>
  </si>
  <si>
    <t xml:space="preserve">Cesar Ulises Rodríguez Cortez </t>
  </si>
  <si>
    <t xml:space="preserve">Consuelo Rivera Santos </t>
  </si>
  <si>
    <t xml:space="preserve">Pedro Carrillo Lozano </t>
  </si>
  <si>
    <t xml:space="preserve">Maricela Soledad Rodriguez </t>
  </si>
  <si>
    <t xml:space="preserve">José Santiago Cordero </t>
  </si>
  <si>
    <t xml:space="preserve">Blanca Estela Castillo Anguiano </t>
  </si>
  <si>
    <t>Síndico</t>
  </si>
  <si>
    <t>SALARIOS TOTALES</t>
  </si>
  <si>
    <t>TOTAL EFECTIVO</t>
  </si>
  <si>
    <t>SALARIOS FORTA</t>
  </si>
  <si>
    <t>TOTAL TARJETA</t>
  </si>
  <si>
    <t>Griselda Lara Sanchez</t>
  </si>
  <si>
    <t>Encargado de invernadero municipal</t>
  </si>
  <si>
    <t>Martha Guadalupe Gómez Sánchez</t>
  </si>
  <si>
    <t>Ma. Guadalupe Armenta Virgen</t>
  </si>
  <si>
    <t xml:space="preserve">Angelica Plascencia Ramirez </t>
  </si>
  <si>
    <t>Juan Carlos Sahagún Partida</t>
  </si>
  <si>
    <t xml:space="preserve">Francisco Javier Moran Ballesteros </t>
  </si>
  <si>
    <t>María Guadalupe Hernández Gallegos</t>
  </si>
  <si>
    <t>Beverli Nayeli Valdez Mercado</t>
  </si>
  <si>
    <t>SEGURIDAD PUBLICA</t>
  </si>
  <si>
    <t>Edgar Ulises Sandoval Bautista</t>
  </si>
  <si>
    <t>Sub-Comisario</t>
  </si>
  <si>
    <t>Policía de Línea</t>
  </si>
  <si>
    <t>Jorge Leonardo Castro Garagarza</t>
  </si>
  <si>
    <t>Comandante Operativo</t>
  </si>
  <si>
    <t>Abraham Horacio Campante Viorato</t>
  </si>
  <si>
    <t>Sandra Griselda Maldonado Gómez</t>
  </si>
  <si>
    <t>Rosalio Siordia Flores</t>
  </si>
  <si>
    <t>Cristian Alexis Basilio Tapia</t>
  </si>
  <si>
    <t>Ma. Nancy Lucrecia Gallegos Alvarez</t>
  </si>
  <si>
    <t>Asistente Administrativa</t>
  </si>
  <si>
    <t>Jesús Durán Enríquez</t>
  </si>
  <si>
    <t>Agente DARE</t>
  </si>
  <si>
    <t>Luis Octavio García Grajeda</t>
  </si>
  <si>
    <t>David Gonzalez Rosales</t>
  </si>
  <si>
    <t>Salvador Alejandro Barajas Torres</t>
  </si>
  <si>
    <t>Rigoberto Gonzalez Romero</t>
  </si>
  <si>
    <t>Samantha Leon Lopez</t>
  </si>
  <si>
    <t>Guadalupe del Consuelo Perez Mancillas</t>
  </si>
  <si>
    <t>Sandra Yamary Anguiano Valdez</t>
  </si>
  <si>
    <t>Jenifer Rosario Nuñez Vargas</t>
  </si>
  <si>
    <t>Andrea Yareli Perez Robles</t>
  </si>
  <si>
    <t>Jose Macario Lopez Alvarez</t>
  </si>
  <si>
    <t>María Guadalupe Sierra Camarena</t>
  </si>
  <si>
    <t>PROTECCION CIVIL</t>
  </si>
  <si>
    <t xml:space="preserve">                                     </t>
  </si>
  <si>
    <t>Andrés Hernández Torres</t>
  </si>
  <si>
    <t>Fernando Guadalupe Rodríguez Rosales</t>
  </si>
  <si>
    <t>Médico Municipal</t>
  </si>
  <si>
    <t>Simón Alberto Lara Aguilera</t>
  </si>
  <si>
    <t>Sara Noemi Lopez Ruvalcaba</t>
  </si>
  <si>
    <t>José de Jesús Zepeda Sánchez</t>
  </si>
  <si>
    <t>Paramédico</t>
  </si>
  <si>
    <t>Juan Manuel Tortoledo González</t>
  </si>
  <si>
    <t>Alan Carrillo Estrada</t>
  </si>
  <si>
    <t>Sergio Iván Jiménez Salazar</t>
  </si>
  <si>
    <t>Ricardo Misael López Sánchez</t>
  </si>
  <si>
    <t>Raúl Ávila Zermeño</t>
  </si>
  <si>
    <t>Flor Ramona Núñez García</t>
  </si>
  <si>
    <t>Norberto Oliva Rosales</t>
  </si>
  <si>
    <t>Josué Fabián Orozco Anguiano</t>
  </si>
  <si>
    <t xml:space="preserve">Paramédico </t>
  </si>
  <si>
    <t>Cesar Ismael Sigala Garcia</t>
  </si>
  <si>
    <t>Angel Ricardo Medina Calvillo</t>
  </si>
  <si>
    <t>Diego Antonio Moreno Maldonado</t>
  </si>
  <si>
    <t>Bombero BRAC</t>
  </si>
  <si>
    <t>Benjamin de Jesús Muñóz Cardona</t>
  </si>
  <si>
    <t>Angel Gabriel Abundiz Hernandez</t>
  </si>
  <si>
    <t>Aldo Flores Bello</t>
  </si>
  <si>
    <t>]</t>
  </si>
  <si>
    <t>Dias</t>
  </si>
  <si>
    <t xml:space="preserve">                                                        C.ALFONSO CHAVEZ SAAVEDRA</t>
  </si>
  <si>
    <t>Alfonso Chavez Saavedra</t>
  </si>
  <si>
    <t>TABLAS PUBLICADAS EL 29 DE DICIEMBRE DE 2023</t>
  </si>
  <si>
    <t>TARIFAS VIGENTES 2024</t>
  </si>
  <si>
    <t>EJERCICIO 2024</t>
  </si>
  <si>
    <t>Jose Guadalupe Rosales Lopez</t>
  </si>
  <si>
    <t>Karina Livier Garcia Gutierrez</t>
  </si>
  <si>
    <t>Omar Ascencion Arreola Ojeda</t>
  </si>
  <si>
    <t>Administrativo</t>
  </si>
  <si>
    <t>Martin Rafael Quiroz Vazquez</t>
  </si>
  <si>
    <t>Miriam Oliva Flores</t>
  </si>
  <si>
    <t>Diana Laura Reynoso Nuñez</t>
  </si>
  <si>
    <t>Maria de los Angeles Vicente Juarez</t>
  </si>
  <si>
    <t>Juan Antonio Covarrubias Abundiz</t>
  </si>
  <si>
    <t>Directora Part. Ciudadana</t>
  </si>
  <si>
    <t>Ruben Eduardo Garcia Fregoso</t>
  </si>
  <si>
    <t>Estefania Gabriela Cruz Guerrero</t>
  </si>
  <si>
    <t>Carlos Jesus Padilla Ruiz</t>
  </si>
  <si>
    <t>Roberto Jr Sanchez Rivera</t>
  </si>
  <si>
    <t>Christian Leonel Barajas Gonzalez</t>
  </si>
  <si>
    <t>Maria Patricia Hernandez Martinez</t>
  </si>
  <si>
    <t>Bertha Griselda Garcia Meza</t>
  </si>
  <si>
    <t xml:space="preserve">Margarita Villalobos Villagrana </t>
  </si>
  <si>
    <t>Auxiliar de Turismo</t>
  </si>
  <si>
    <t>Gerardo Gonzalez Sanchez</t>
  </si>
  <si>
    <t>Jose de Jesus Vaca Covarrubias</t>
  </si>
  <si>
    <t>Auxiliar Secretario General</t>
  </si>
  <si>
    <t>Cristian Alexander Rodriguez Gutierrez</t>
  </si>
  <si>
    <t>Luis Angel Tamayo Guillen</t>
  </si>
  <si>
    <t>Juan Pablo Ortega Ruiz</t>
  </si>
  <si>
    <t>Alvaro Alonso Venegas Gonzalez</t>
  </si>
  <si>
    <t>Jose de Jesus Varo Dominguez</t>
  </si>
  <si>
    <t>Oscar Uriel Delgado Calderon</t>
  </si>
  <si>
    <t>Ma de Jesus Saavedra Lopez</t>
  </si>
  <si>
    <t>Oscar Raul Borjon Rivas</t>
  </si>
  <si>
    <t>Velador</t>
  </si>
  <si>
    <t>Limpieza Monte Calvario</t>
  </si>
  <si>
    <t>Yolanda Ornelas Fonseca</t>
  </si>
  <si>
    <t>Ivette Monserrat Quintero Miranda</t>
  </si>
  <si>
    <t>tabla subsidio publicada el 1 de mayo de 2024</t>
  </si>
  <si>
    <t>Gilberto Adan Muñiz Alvarez</t>
  </si>
  <si>
    <t>Osbaldo Anguiano Gutiérrez</t>
  </si>
  <si>
    <t>José Manuel Anguiano Miramontes</t>
  </si>
  <si>
    <t>Antonio Flores Valencia</t>
  </si>
  <si>
    <t>Brenda Elizabeth Caldera Sanchez</t>
  </si>
  <si>
    <t>Jenifer Esmeralda Cisneros Santiago</t>
  </si>
  <si>
    <t xml:space="preserve">Jose Ascencion Murguia Santiago </t>
  </si>
  <si>
    <t>Martha Alicia Padilla Bonilla</t>
  </si>
  <si>
    <t>GF</t>
  </si>
  <si>
    <t>Samuel Valdez Ramirez</t>
  </si>
  <si>
    <t>SCOTIA</t>
  </si>
  <si>
    <t>CD. JOSE ASCENCION MURGUIA SANTIAGO</t>
  </si>
  <si>
    <t>SCOTIABANK</t>
  </si>
  <si>
    <t xml:space="preserve">                                         PERIODO DE PAGO: SEGUNDA QUINCENA DE JULIO DEL 2024</t>
  </si>
  <si>
    <t>NOMINA DEL 16 AL 31 DE JULIO DEL 2024</t>
  </si>
  <si>
    <t>PERIODO DE PAGO: SEGUNDA QUINCENA DE JULIO DEL 2024</t>
  </si>
  <si>
    <t>Jorge Oswaldo Becerra Gomez</t>
  </si>
  <si>
    <t>Luisa Saavedra Lopez</t>
  </si>
  <si>
    <t>Maria Isabel Perez Padilla</t>
  </si>
  <si>
    <t>SEGUNDA QUINCENA DE JULIO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</si>
</sst>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#,##0.00_ ;[Red]\-#,##0.00\ "/>
    <numFmt numFmtId="166" formatCode="#,##0.00_ ;\-#,##0.00\ "/>
  </numFmts>
  <fonts count="3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color indexed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color indexed="10"/>
      <name val="Times New Roman"/>
      <family val="1"/>
    </font>
    <font>
      <b/>
      <sz val="10"/>
      <color indexed="18"/>
      <name val="Verdana"/>
      <family val="2"/>
    </font>
    <font>
      <b/>
      <sz val="8"/>
      <color indexed="10"/>
      <name val="Times New Roman"/>
      <family val="1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3.3"/>
      <name val="Arial"/>
      <family val="2"/>
    </font>
    <font>
      <sz val="13.5"/>
      <name val="Arial"/>
      <family val="2"/>
    </font>
    <font>
      <b/>
      <sz val="13.5"/>
      <name val="Arial"/>
      <family val="2"/>
    </font>
    <font>
      <sz val="10"/>
      <name val="Franklin Gothic Heavy"/>
      <family val="2"/>
    </font>
    <font>
      <b/>
      <i/>
      <sz val="9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b/>
      <sz val="14"/>
      <name val="Bodoni MT Black"/>
      <family val="1"/>
    </font>
    <font>
      <b/>
      <sz val="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54">
    <xf numFmtId="0" fontId="0" fillId="0" borderId="0" xfId="0"/>
    <xf numFmtId="39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fill"/>
    </xf>
    <xf numFmtId="0" fontId="3" fillId="0" borderId="0" xfId="0" applyFont="1"/>
    <xf numFmtId="0" fontId="1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fill"/>
    </xf>
    <xf numFmtId="0" fontId="12" fillId="0" borderId="0" xfId="0" applyFont="1" applyAlignment="1">
      <alignment horizontal="fill"/>
    </xf>
    <xf numFmtId="39" fontId="12" fillId="0" borderId="1" xfId="0" applyNumberFormat="1" applyFont="1" applyBorder="1"/>
    <xf numFmtId="10" fontId="12" fillId="0" borderId="1" xfId="0" applyNumberFormat="1" applyFont="1" applyBorder="1"/>
    <xf numFmtId="39" fontId="12" fillId="0" borderId="0" xfId="0" applyNumberFormat="1" applyFont="1"/>
    <xf numFmtId="39" fontId="12" fillId="0" borderId="2" xfId="0" applyNumberFormat="1" applyFont="1" applyBorder="1"/>
    <xf numFmtId="10" fontId="12" fillId="0" borderId="2" xfId="0" applyNumberFormat="1" applyFont="1" applyBorder="1"/>
    <xf numFmtId="0" fontId="12" fillId="0" borderId="2" xfId="0" applyFont="1" applyBorder="1"/>
    <xf numFmtId="0" fontId="14" fillId="0" borderId="0" xfId="0" applyFont="1"/>
    <xf numFmtId="0" fontId="13" fillId="0" borderId="0" xfId="0" applyFont="1" applyProtection="1">
      <protection locked="0"/>
    </xf>
    <xf numFmtId="39" fontId="12" fillId="0" borderId="1" xfId="0" applyNumberFormat="1" applyFont="1" applyBorder="1" applyProtection="1">
      <protection locked="0"/>
    </xf>
    <xf numFmtId="10" fontId="12" fillId="0" borderId="1" xfId="0" applyNumberFormat="1" applyFont="1" applyBorder="1" applyProtection="1">
      <protection locked="0"/>
    </xf>
    <xf numFmtId="0" fontId="16" fillId="0" borderId="0" xfId="0" applyFont="1"/>
    <xf numFmtId="165" fontId="3" fillId="0" borderId="0" xfId="0" applyNumberFormat="1" applyFont="1"/>
    <xf numFmtId="0" fontId="18" fillId="0" borderId="0" xfId="0" applyFont="1"/>
    <xf numFmtId="0" fontId="2" fillId="0" borderId="0" xfId="0" applyFont="1"/>
    <xf numFmtId="43" fontId="17" fillId="0" borderId="0" xfId="2" applyFont="1" applyFill="1" applyProtection="1"/>
    <xf numFmtId="0" fontId="17" fillId="0" borderId="0" xfId="0" applyFont="1"/>
    <xf numFmtId="43" fontId="1" fillId="0" borderId="0" xfId="2" applyFont="1" applyFill="1" applyProtection="1"/>
    <xf numFmtId="43" fontId="2" fillId="0" borderId="0" xfId="2" applyFont="1" applyFill="1" applyProtection="1"/>
    <xf numFmtId="165" fontId="17" fillId="0" borderId="0" xfId="0" applyNumberFormat="1" applyFont="1"/>
    <xf numFmtId="2" fontId="1" fillId="0" borderId="0" xfId="0" applyNumberFormat="1" applyFont="1"/>
    <xf numFmtId="0" fontId="17" fillId="2" borderId="0" xfId="0" applyFont="1" applyFill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8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3" fontId="2" fillId="0" borderId="4" xfId="2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 vertical="center" wrapText="1"/>
    </xf>
    <xf numFmtId="1" fontId="2" fillId="0" borderId="0" xfId="2" applyNumberFormat="1" applyFont="1" applyFill="1" applyBorder="1" applyAlignment="1" applyProtection="1">
      <alignment horizontal="center" vertical="center"/>
    </xf>
    <xf numFmtId="165" fontId="2" fillId="0" borderId="6" xfId="2" applyNumberFormat="1" applyFont="1" applyFill="1" applyBorder="1" applyAlignment="1" applyProtection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165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 vertical="center"/>
    </xf>
    <xf numFmtId="43" fontId="2" fillId="0" borderId="4" xfId="2" applyFont="1" applyBorder="1" applyAlignment="1" applyProtection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16" xfId="0" applyFont="1" applyBorder="1" applyAlignment="1">
      <alignment horizontal="center"/>
    </xf>
    <xf numFmtId="0" fontId="1" fillId="0" borderId="16" xfId="0" applyFont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18" fillId="0" borderId="4" xfId="0" applyFont="1" applyBorder="1" applyAlignment="1" applyProtection="1">
      <alignment horizontal="center" vertical="center" wrapText="1"/>
      <protection locked="0"/>
    </xf>
    <xf numFmtId="165" fontId="19" fillId="0" borderId="4" xfId="0" applyNumberFormat="1" applyFont="1" applyBorder="1" applyAlignment="1" applyProtection="1">
      <alignment horizontal="center" vertical="center" wrapText="1"/>
      <protection locked="0"/>
    </xf>
    <xf numFmtId="0" fontId="19" fillId="0" borderId="4" xfId="0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18" fillId="0" borderId="4" xfId="0" applyFont="1" applyBorder="1" applyAlignment="1" applyProtection="1">
      <alignment horizontal="center" vertical="center"/>
      <protection locked="0"/>
    </xf>
    <xf numFmtId="0" fontId="19" fillId="0" borderId="4" xfId="0" applyFont="1" applyBorder="1" applyAlignment="1" applyProtection="1">
      <alignment horizontal="center" vertical="center"/>
      <protection locked="0"/>
    </xf>
    <xf numFmtId="0" fontId="2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horizontal="center" wrapText="1"/>
    </xf>
    <xf numFmtId="0" fontId="1" fillId="3" borderId="0" xfId="0" applyFont="1" applyFill="1"/>
    <xf numFmtId="0" fontId="17" fillId="3" borderId="0" xfId="0" applyFont="1" applyFill="1"/>
    <xf numFmtId="0" fontId="1" fillId="0" borderId="4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wrapText="1"/>
    </xf>
    <xf numFmtId="43" fontId="1" fillId="0" borderId="0" xfId="2" applyFont="1" applyFill="1" applyBorder="1" applyProtection="1"/>
    <xf numFmtId="43" fontId="1" fillId="0" borderId="0" xfId="2" applyFont="1" applyFill="1" applyBorder="1" applyAlignment="1" applyProtection="1">
      <alignment horizontal="center"/>
    </xf>
    <xf numFmtId="43" fontId="2" fillId="0" borderId="0" xfId="2" applyFont="1" applyFill="1" applyBorder="1" applyAlignment="1" applyProtection="1">
      <alignment horizontal="center"/>
    </xf>
    <xf numFmtId="43" fontId="19" fillId="0" borderId="0" xfId="2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23" xfId="0" applyFont="1" applyBorder="1"/>
    <xf numFmtId="0" fontId="23" fillId="0" borderId="0" xfId="0" applyFont="1" applyAlignment="1">
      <alignment vertical="center"/>
    </xf>
    <xf numFmtId="0" fontId="1" fillId="0" borderId="22" xfId="0" applyFont="1" applyBorder="1"/>
    <xf numFmtId="0" fontId="1" fillId="0" borderId="31" xfId="0" applyFont="1" applyBorder="1"/>
    <xf numFmtId="0" fontId="1" fillId="0" borderId="16" xfId="0" applyFont="1" applyBorder="1"/>
    <xf numFmtId="2" fontId="1" fillId="0" borderId="16" xfId="0" applyNumberFormat="1" applyFont="1" applyBorder="1"/>
    <xf numFmtId="0" fontId="18" fillId="0" borderId="4" xfId="0" applyFont="1" applyBorder="1" applyAlignment="1" applyProtection="1">
      <alignment horizontal="left" vertical="center" wrapText="1"/>
      <protection locked="0"/>
    </xf>
    <xf numFmtId="43" fontId="18" fillId="0" borderId="4" xfId="2" applyFont="1" applyBorder="1" applyAlignment="1" applyProtection="1">
      <alignment horizontal="center" vertical="center" wrapText="1"/>
      <protection locked="0"/>
    </xf>
    <xf numFmtId="43" fontId="18" fillId="0" borderId="4" xfId="2" applyFont="1" applyFill="1" applyBorder="1" applyAlignment="1" applyProtection="1">
      <alignment horizontal="center" vertical="center" wrapText="1"/>
    </xf>
    <xf numFmtId="43" fontId="18" fillId="0" borderId="4" xfId="2" applyFont="1" applyFill="1" applyBorder="1" applyAlignment="1" applyProtection="1">
      <alignment horizontal="center" vertical="center" wrapText="1"/>
      <protection locked="0"/>
    </xf>
    <xf numFmtId="0" fontId="18" fillId="0" borderId="4" xfId="0" applyFont="1" applyBorder="1" applyAlignment="1">
      <alignment horizontal="left" vertical="center"/>
    </xf>
    <xf numFmtId="43" fontId="19" fillId="0" borderId="4" xfId="2" applyFont="1" applyFill="1" applyBorder="1" applyAlignment="1" applyProtection="1">
      <alignment horizontal="center" vertical="center" wrapText="1"/>
    </xf>
    <xf numFmtId="0" fontId="18" fillId="0" borderId="4" xfId="0" applyFont="1" applyBorder="1" applyAlignment="1" applyProtection="1">
      <alignment horizontal="left" vertical="center"/>
      <protection locked="0"/>
    </xf>
    <xf numFmtId="43" fontId="19" fillId="0" borderId="4" xfId="2" applyFont="1" applyBorder="1" applyAlignment="1" applyProtection="1">
      <alignment horizontal="center" vertical="center" wrapText="1"/>
      <protection locked="0"/>
    </xf>
    <xf numFmtId="0" fontId="19" fillId="4" borderId="24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2" fontId="19" fillId="4" borderId="3" xfId="0" applyNumberFormat="1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19" fillId="4" borderId="27" xfId="0" applyFont="1" applyFill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165" fontId="18" fillId="0" borderId="25" xfId="2" applyNumberFormat="1" applyFont="1" applyFill="1" applyBorder="1" applyAlignment="1" applyProtection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43" fontId="19" fillId="0" borderId="25" xfId="2" applyFont="1" applyFill="1" applyBorder="1" applyAlignment="1" applyProtection="1">
      <alignment horizontal="center" vertical="center" wrapText="1"/>
    </xf>
    <xf numFmtId="43" fontId="18" fillId="0" borderId="25" xfId="2" applyFont="1" applyFill="1" applyBorder="1" applyAlignment="1" applyProtection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3" fontId="19" fillId="0" borderId="0" xfId="2" applyFont="1" applyFill="1" applyBorder="1" applyAlignment="1" applyProtection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43" fontId="19" fillId="0" borderId="23" xfId="2" applyFont="1" applyFill="1" applyBorder="1" applyAlignment="1" applyProtection="1">
      <alignment horizontal="center" vertical="center" wrapText="1"/>
    </xf>
    <xf numFmtId="43" fontId="3" fillId="0" borderId="4" xfId="2" applyFont="1" applyFill="1" applyBorder="1" applyAlignment="1" applyProtection="1">
      <alignment horizontal="center" vertical="center"/>
    </xf>
    <xf numFmtId="43" fontId="9" fillId="0" borderId="4" xfId="2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8" fillId="4" borderId="27" xfId="0" applyFont="1" applyFill="1" applyBorder="1" applyAlignment="1">
      <alignment horizontal="center" vertical="center" wrapText="1"/>
    </xf>
    <xf numFmtId="43" fontId="3" fillId="0" borderId="25" xfId="2" applyFont="1" applyFill="1" applyBorder="1" applyAlignment="1" applyProtection="1">
      <alignment horizontal="center" vertical="center"/>
      <protection locked="0"/>
    </xf>
    <xf numFmtId="43" fontId="9" fillId="0" borderId="25" xfId="2" applyFont="1" applyFill="1" applyBorder="1" applyAlignment="1" applyProtection="1">
      <alignment horizontal="center" vertical="center"/>
    </xf>
    <xf numFmtId="165" fontId="3" fillId="0" borderId="25" xfId="2" applyNumberFormat="1" applyFont="1" applyFill="1" applyBorder="1" applyAlignment="1" applyProtection="1">
      <alignment horizontal="center" vertical="center"/>
      <protection locked="0"/>
    </xf>
    <xf numFmtId="165" fontId="19" fillId="0" borderId="23" xfId="2" applyNumberFormat="1" applyFont="1" applyFill="1" applyBorder="1" applyAlignment="1" applyProtection="1">
      <alignment horizontal="center" vertical="center"/>
    </xf>
    <xf numFmtId="0" fontId="18" fillId="0" borderId="23" xfId="0" applyFont="1" applyBorder="1"/>
    <xf numFmtId="0" fontId="18" fillId="0" borderId="16" xfId="0" applyFont="1" applyBorder="1"/>
    <xf numFmtId="0" fontId="17" fillId="0" borderId="20" xfId="0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17" xfId="0" applyFont="1" applyBorder="1" applyAlignment="1">
      <alignment vertical="center"/>
    </xf>
    <xf numFmtId="0" fontId="18" fillId="0" borderId="21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23" xfId="0" applyFont="1" applyBorder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2" fontId="18" fillId="0" borderId="4" xfId="2" applyNumberFormat="1" applyFont="1" applyFill="1" applyBorder="1" applyAlignment="1" applyProtection="1">
      <alignment horizontal="center" vertical="center" wrapText="1"/>
    </xf>
    <xf numFmtId="2" fontId="19" fillId="0" borderId="4" xfId="2" applyNumberFormat="1" applyFont="1" applyFill="1" applyBorder="1" applyAlignment="1" applyProtection="1">
      <alignment horizontal="center" vertical="center" wrapText="1"/>
    </xf>
    <xf numFmtId="2" fontId="18" fillId="0" borderId="4" xfId="2" applyNumberFormat="1" applyFont="1" applyFill="1" applyBorder="1" applyAlignment="1" applyProtection="1">
      <alignment horizontal="center" vertical="center" wrapText="1"/>
      <protection locked="0"/>
    </xf>
    <xf numFmtId="43" fontId="18" fillId="0" borderId="0" xfId="0" applyNumberFormat="1" applyFont="1"/>
    <xf numFmtId="2" fontId="18" fillId="0" borderId="0" xfId="0" applyNumberFormat="1" applyFont="1"/>
    <xf numFmtId="0" fontId="19" fillId="0" borderId="0" xfId="0" applyFont="1" applyAlignment="1">
      <alignment horizontal="left" vertical="center" wrapText="1"/>
    </xf>
    <xf numFmtId="165" fontId="18" fillId="0" borderId="4" xfId="2" applyNumberFormat="1" applyFont="1" applyFill="1" applyBorder="1" applyAlignment="1" applyProtection="1">
      <alignment horizontal="right" vertical="center"/>
      <protection hidden="1"/>
    </xf>
    <xf numFmtId="0" fontId="2" fillId="0" borderId="4" xfId="0" applyFont="1" applyBorder="1" applyAlignment="1">
      <alignment horizontal="center" vertical="center" wrapText="1"/>
    </xf>
    <xf numFmtId="165" fontId="18" fillId="0" borderId="4" xfId="2" applyNumberFormat="1" applyFont="1" applyFill="1" applyBorder="1" applyAlignment="1" applyProtection="1">
      <alignment horizontal="center" vertical="center"/>
      <protection hidden="1"/>
    </xf>
    <xf numFmtId="2" fontId="3" fillId="0" borderId="4" xfId="2" applyNumberFormat="1" applyFont="1" applyFill="1" applyBorder="1" applyAlignment="1" applyProtection="1">
      <alignment horizontal="center" vertical="center"/>
    </xf>
    <xf numFmtId="2" fontId="9" fillId="0" borderId="4" xfId="2" applyNumberFormat="1" applyFont="1" applyFill="1" applyBorder="1" applyAlignment="1" applyProtection="1">
      <alignment horizontal="center" vertical="center"/>
    </xf>
    <xf numFmtId="0" fontId="8" fillId="0" borderId="0" xfId="0" applyFont="1"/>
    <xf numFmtId="165" fontId="1" fillId="0" borderId="34" xfId="2" applyNumberFormat="1" applyFont="1" applyFill="1" applyBorder="1" applyAlignment="1" applyProtection="1">
      <alignment horizontal="center"/>
    </xf>
    <xf numFmtId="166" fontId="1" fillId="0" borderId="34" xfId="2" applyNumberFormat="1" applyFont="1" applyFill="1" applyBorder="1" applyAlignment="1" applyProtection="1">
      <alignment horizontal="center"/>
      <protection locked="0"/>
    </xf>
    <xf numFmtId="165" fontId="1" fillId="0" borderId="34" xfId="2" applyNumberFormat="1" applyFont="1" applyFill="1" applyBorder="1" applyAlignment="1" applyProtection="1">
      <alignment horizontal="center"/>
      <protection locked="0"/>
    </xf>
    <xf numFmtId="2" fontId="1" fillId="0" borderId="0" xfId="2" applyNumberFormat="1" applyFont="1" applyFill="1" applyBorder="1" applyAlignment="1" applyProtection="1">
      <alignment horizontal="center"/>
    </xf>
    <xf numFmtId="10" fontId="1" fillId="0" borderId="34" xfId="5" applyNumberFormat="1" applyFont="1" applyFill="1" applyBorder="1" applyAlignment="1" applyProtection="1">
      <alignment horizontal="center"/>
    </xf>
    <xf numFmtId="1" fontId="1" fillId="0" borderId="0" xfId="2" applyNumberFormat="1" applyFont="1" applyFill="1" applyBorder="1" applyAlignment="1" applyProtection="1">
      <alignment horizontal="center"/>
    </xf>
    <xf numFmtId="165" fontId="1" fillId="0" borderId="4" xfId="2" applyNumberFormat="1" applyFont="1" applyFill="1" applyBorder="1" applyAlignment="1" applyProtection="1">
      <alignment horizontal="center"/>
      <protection locked="0"/>
    </xf>
    <xf numFmtId="165" fontId="1" fillId="0" borderId="0" xfId="2" applyNumberFormat="1" applyFont="1" applyFill="1" applyBorder="1" applyAlignment="1" applyProtection="1">
      <alignment horizontal="center"/>
    </xf>
    <xf numFmtId="165" fontId="1" fillId="0" borderId="4" xfId="2" applyNumberFormat="1" applyFont="1" applyFill="1" applyBorder="1" applyAlignment="1" applyProtection="1">
      <alignment horizontal="center"/>
    </xf>
    <xf numFmtId="43" fontId="2" fillId="0" borderId="1" xfId="2" applyFont="1" applyBorder="1" applyAlignment="1" applyProtection="1">
      <alignment horizontal="center"/>
    </xf>
    <xf numFmtId="0" fontId="2" fillId="0" borderId="3" xfId="0" applyFont="1" applyBorder="1" applyAlignment="1">
      <alignment horizontal="center"/>
    </xf>
    <xf numFmtId="165" fontId="0" fillId="0" borderId="0" xfId="0" applyNumberFormat="1"/>
    <xf numFmtId="165" fontId="1" fillId="0" borderId="4" xfId="2" applyNumberFormat="1" applyFont="1" applyFill="1" applyBorder="1" applyAlignment="1" applyProtection="1">
      <alignment horizontal="center" vertical="center"/>
    </xf>
    <xf numFmtId="0" fontId="0" fillId="0" borderId="4" xfId="0" applyBorder="1"/>
    <xf numFmtId="44" fontId="7" fillId="0" borderId="0" xfId="6" applyFont="1" applyFill="1" applyAlignment="1" applyProtection="1">
      <alignment horizontal="center" vertical="center"/>
    </xf>
    <xf numFmtId="43" fontId="1" fillId="0" borderId="0" xfId="2" applyFont="1" applyFill="1" applyAlignment="1" applyProtection="1">
      <alignment horizontal="center" vertical="center"/>
    </xf>
    <xf numFmtId="0" fontId="7" fillId="0" borderId="0" xfId="0" applyFont="1"/>
    <xf numFmtId="0" fontId="1" fillId="0" borderId="4" xfId="0" applyFont="1" applyBorder="1"/>
    <xf numFmtId="43" fontId="7" fillId="0" borderId="0" xfId="2" applyFont="1" applyFill="1" applyProtection="1"/>
    <xf numFmtId="165" fontId="7" fillId="0" borderId="0" xfId="0" applyNumberFormat="1" applyFont="1"/>
    <xf numFmtId="165" fontId="27" fillId="0" borderId="0" xfId="0" applyNumberFormat="1" applyFont="1"/>
    <xf numFmtId="165" fontId="1" fillId="0" borderId="2" xfId="2" applyNumberFormat="1" applyFont="1" applyFill="1" applyBorder="1" applyAlignment="1" applyProtection="1">
      <alignment horizontal="center" vertical="center"/>
    </xf>
    <xf numFmtId="44" fontId="8" fillId="0" borderId="0" xfId="6" applyFont="1" applyFill="1" applyBorder="1" applyAlignment="1" applyProtection="1">
      <alignment horizontal="center" vertical="center"/>
    </xf>
    <xf numFmtId="44" fontId="8" fillId="0" borderId="6" xfId="6" applyFont="1" applyFill="1" applyBorder="1" applyAlignment="1" applyProtection="1">
      <alignment horizontal="center" vertical="center"/>
    </xf>
    <xf numFmtId="44" fontId="7" fillId="0" borderId="16" xfId="6" applyFont="1" applyFill="1" applyBorder="1" applyAlignment="1" applyProtection="1">
      <alignment horizontal="center" vertical="center"/>
    </xf>
    <xf numFmtId="44" fontId="7" fillId="0" borderId="0" xfId="6" applyFont="1" applyFill="1" applyAlignment="1" applyProtection="1">
      <alignment horizontal="center"/>
    </xf>
    <xf numFmtId="43" fontId="1" fillId="0" borderId="0" xfId="2" applyFont="1" applyFill="1" applyAlignment="1" applyProtection="1">
      <alignment horizontal="center"/>
    </xf>
    <xf numFmtId="44" fontId="7" fillId="0" borderId="0" xfId="6" applyFont="1" applyFill="1" applyAlignment="1">
      <alignment horizontal="center"/>
    </xf>
    <xf numFmtId="44" fontId="7" fillId="0" borderId="0" xfId="6" applyFont="1" applyFill="1"/>
    <xf numFmtId="44" fontId="7" fillId="0" borderId="0" xfId="6" applyFont="1" applyFill="1" applyProtection="1"/>
    <xf numFmtId="165" fontId="0" fillId="3" borderId="0" xfId="0" applyNumberFormat="1" applyFill="1"/>
    <xf numFmtId="44" fontId="1" fillId="0" borderId="0" xfId="4" applyFont="1" applyAlignment="1">
      <alignment horizontal="center" vertical="center"/>
    </xf>
    <xf numFmtId="44" fontId="2" fillId="0" borderId="19" xfId="4" applyFont="1" applyBorder="1" applyAlignment="1" applyProtection="1">
      <alignment horizontal="center" vertical="center"/>
    </xf>
    <xf numFmtId="44" fontId="1" fillId="0" borderId="16" xfId="4" applyFont="1" applyBorder="1" applyAlignment="1">
      <alignment horizontal="center" vertical="center"/>
    </xf>
    <xf numFmtId="44" fontId="1" fillId="0" borderId="0" xfId="4" applyFont="1" applyAlignment="1">
      <alignment horizontal="center"/>
    </xf>
    <xf numFmtId="44" fontId="2" fillId="0" borderId="3" xfId="4" applyFont="1" applyBorder="1" applyAlignment="1">
      <alignment horizontal="center" wrapText="1"/>
    </xf>
    <xf numFmtId="44" fontId="2" fillId="0" borderId="1" xfId="4" applyFont="1" applyBorder="1" applyAlignment="1">
      <alignment horizontal="center" wrapText="1"/>
    </xf>
    <xf numFmtId="44" fontId="2" fillId="0" borderId="2" xfId="4" applyFont="1" applyBorder="1" applyAlignment="1">
      <alignment horizontal="center" wrapText="1"/>
    </xf>
    <xf numFmtId="44" fontId="2" fillId="0" borderId="19" xfId="4" applyFont="1" applyBorder="1" applyAlignment="1" applyProtection="1">
      <alignment horizontal="center"/>
    </xf>
    <xf numFmtId="44" fontId="1" fillId="0" borderId="0" xfId="4" applyFont="1"/>
    <xf numFmtId="43" fontId="3" fillId="0" borderId="4" xfId="2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9" fillId="0" borderId="15" xfId="0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17" fillId="0" borderId="17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9" fillId="4" borderId="15" xfId="0" applyFont="1" applyFill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43" fontId="19" fillId="0" borderId="4" xfId="2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165" fontId="3" fillId="0" borderId="4" xfId="0" applyNumberFormat="1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>
      <alignment horizontal="left" vertical="center" wrapText="1"/>
    </xf>
    <xf numFmtId="43" fontId="3" fillId="0" borderId="15" xfId="2" applyFont="1" applyFill="1" applyBorder="1" applyAlignment="1" applyProtection="1">
      <alignment horizontal="center" vertical="center"/>
      <protection locked="0"/>
    </xf>
    <xf numFmtId="0" fontId="3" fillId="0" borderId="2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3" fontId="3" fillId="0" borderId="4" xfId="2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165" fontId="9" fillId="0" borderId="4" xfId="2" applyNumberFormat="1" applyFont="1" applyFill="1" applyBorder="1" applyAlignment="1" applyProtection="1">
      <alignment horizontal="center" vertical="center"/>
    </xf>
    <xf numFmtId="0" fontId="3" fillId="0" borderId="22" xfId="0" applyFont="1" applyBorder="1"/>
    <xf numFmtId="0" fontId="6" fillId="0" borderId="0" xfId="0" applyFont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4" fillId="0" borderId="22" xfId="0" applyFont="1" applyBorder="1" applyAlignment="1">
      <alignment horizontal="center" vertical="center"/>
    </xf>
    <xf numFmtId="0" fontId="9" fillId="0" borderId="22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center" wrapText="1"/>
    </xf>
    <xf numFmtId="0" fontId="18" fillId="0" borderId="32" xfId="0" applyFont="1" applyBorder="1"/>
    <xf numFmtId="0" fontId="21" fillId="0" borderId="4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165" fontId="1" fillId="0" borderId="4" xfId="0" applyNumberFormat="1" applyFont="1" applyBorder="1" applyAlignment="1" applyProtection="1">
      <alignment horizontal="center" vertical="center"/>
      <protection locked="0"/>
    </xf>
    <xf numFmtId="165" fontId="1" fillId="0" borderId="4" xfId="2" applyNumberFormat="1" applyFont="1" applyFill="1" applyBorder="1" applyAlignment="1" applyProtection="1">
      <alignment horizontal="center" vertical="center"/>
      <protection locked="0"/>
    </xf>
    <xf numFmtId="1" fontId="1" fillId="0" borderId="4" xfId="2" applyNumberFormat="1" applyFont="1" applyFill="1" applyBorder="1" applyAlignment="1" applyProtection="1">
      <alignment horizontal="center" vertical="center"/>
    </xf>
    <xf numFmtId="10" fontId="1" fillId="0" borderId="4" xfId="5" applyNumberFormat="1" applyFont="1" applyFill="1" applyBorder="1" applyAlignment="1" applyProtection="1">
      <alignment horizontal="center" vertical="center"/>
    </xf>
    <xf numFmtId="2" fontId="1" fillId="0" borderId="4" xfId="2" applyNumberFormat="1" applyFont="1" applyFill="1" applyBorder="1" applyAlignment="1" applyProtection="1">
      <alignment horizontal="center" vertical="center"/>
    </xf>
    <xf numFmtId="166" fontId="1" fillId="0" borderId="4" xfId="2" applyNumberFormat="1" applyFont="1" applyFill="1" applyBorder="1" applyAlignment="1" applyProtection="1">
      <alignment horizontal="center" vertical="center"/>
      <protection locked="0"/>
    </xf>
    <xf numFmtId="44" fontId="7" fillId="0" borderId="4" xfId="6" applyFont="1" applyFill="1" applyBorder="1" applyAlignment="1" applyProtection="1">
      <alignment horizontal="center" vertical="center"/>
    </xf>
    <xf numFmtId="0" fontId="21" fillId="0" borderId="4" xfId="0" applyFont="1" applyBorder="1" applyAlignment="1">
      <alignment horizontal="left" vertical="center" wrapText="1"/>
    </xf>
    <xf numFmtId="0" fontId="1" fillId="0" borderId="4" xfId="0" applyFont="1" applyBorder="1" applyAlignment="1" applyProtection="1">
      <alignment horizontal="left" vertical="center" wrapText="1"/>
      <protection locked="0"/>
    </xf>
    <xf numFmtId="44" fontId="1" fillId="0" borderId="4" xfId="4" applyFont="1" applyFill="1" applyBorder="1" applyAlignment="1" applyProtection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 applyProtection="1">
      <alignment horizontal="center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165" fontId="1" fillId="0" borderId="4" xfId="0" applyNumberFormat="1" applyFont="1" applyBorder="1" applyAlignment="1" applyProtection="1">
      <alignment horizontal="center"/>
      <protection locked="0"/>
    </xf>
    <xf numFmtId="44" fontId="1" fillId="0" borderId="4" xfId="4" applyFont="1" applyFill="1" applyBorder="1" applyAlignment="1" applyProtection="1">
      <alignment horizontal="center"/>
    </xf>
    <xf numFmtId="43" fontId="3" fillId="0" borderId="0" xfId="0" applyNumberFormat="1" applyFont="1"/>
    <xf numFmtId="0" fontId="19" fillId="0" borderId="17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2" fillId="0" borderId="14" xfId="0" applyFont="1" applyBorder="1" applyAlignment="1">
      <alignment horizontal="center" vertical="center" wrapText="1"/>
    </xf>
    <xf numFmtId="0" fontId="1" fillId="0" borderId="20" xfId="0" applyFont="1" applyBorder="1"/>
    <xf numFmtId="0" fontId="1" fillId="0" borderId="17" xfId="0" applyFont="1" applyBorder="1"/>
    <xf numFmtId="0" fontId="1" fillId="0" borderId="17" xfId="0" applyFont="1" applyBorder="1" applyAlignment="1">
      <alignment vertical="center" wrapText="1"/>
    </xf>
    <xf numFmtId="2" fontId="1" fillId="0" borderId="17" xfId="0" applyNumberFormat="1" applyFont="1" applyBorder="1"/>
    <xf numFmtId="0" fontId="1" fillId="0" borderId="21" xfId="0" applyFont="1" applyBorder="1"/>
    <xf numFmtId="0" fontId="1" fillId="0" borderId="22" xfId="0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3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2" fontId="2" fillId="4" borderId="3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43" fontId="1" fillId="0" borderId="0" xfId="2" applyFont="1" applyProtection="1"/>
    <xf numFmtId="0" fontId="1" fillId="0" borderId="2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" xfId="0" applyFont="1" applyBorder="1" applyAlignment="1" applyProtection="1">
      <alignment vertical="center" wrapText="1"/>
      <protection locked="0"/>
    </xf>
    <xf numFmtId="43" fontId="1" fillId="0" borderId="4" xfId="2" applyFont="1" applyFill="1" applyBorder="1" applyAlignment="1" applyProtection="1">
      <alignment horizontal="center" vertical="center" wrapText="1"/>
    </xf>
    <xf numFmtId="43" fontId="1" fillId="0" borderId="4" xfId="2" applyFont="1" applyBorder="1" applyAlignment="1" applyProtection="1">
      <alignment horizontal="center" vertical="center" wrapText="1"/>
      <protection locked="0"/>
    </xf>
    <xf numFmtId="165" fontId="1" fillId="0" borderId="4" xfId="2" applyNumberFormat="1" applyFont="1" applyFill="1" applyBorder="1" applyAlignment="1" applyProtection="1">
      <alignment horizontal="right" vertical="center"/>
      <protection hidden="1"/>
    </xf>
    <xf numFmtId="165" fontId="1" fillId="0" borderId="4" xfId="2" applyNumberFormat="1" applyFont="1" applyFill="1" applyBorder="1" applyAlignment="1" applyProtection="1">
      <alignment horizontal="center" vertical="center"/>
      <protection hidden="1"/>
    </xf>
    <xf numFmtId="165" fontId="1" fillId="0" borderId="4" xfId="2" applyNumberFormat="1" applyFont="1" applyFill="1" applyBorder="1" applyAlignment="1" applyProtection="1">
      <alignment horizontal="center" vertical="center" wrapText="1"/>
      <protection locked="0"/>
    </xf>
    <xf numFmtId="165" fontId="1" fillId="0" borderId="13" xfId="2" applyNumberFormat="1" applyFont="1" applyFill="1" applyBorder="1" applyAlignment="1" applyProtection="1">
      <alignment horizontal="center" vertical="center" wrapText="1"/>
    </xf>
    <xf numFmtId="165" fontId="1" fillId="0" borderId="25" xfId="2" applyNumberFormat="1" applyFont="1" applyFill="1" applyBorder="1" applyAlignment="1" applyProtection="1">
      <alignment horizontal="center" vertical="center" wrapText="1"/>
    </xf>
    <xf numFmtId="43" fontId="19" fillId="0" borderId="14" xfId="2" applyFont="1" applyBorder="1" applyAlignment="1" applyProtection="1">
      <alignment horizontal="center" vertical="center" wrapText="1"/>
    </xf>
    <xf numFmtId="43" fontId="19" fillId="0" borderId="30" xfId="2" applyFont="1" applyBorder="1" applyAlignment="1" applyProtection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43" fontId="1" fillId="0" borderId="23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0" fontId="1" fillId="0" borderId="32" xfId="0" applyFont="1" applyBorder="1"/>
    <xf numFmtId="0" fontId="1" fillId="0" borderId="0" xfId="0" applyFont="1" applyAlignment="1">
      <alignment vertical="center" wrapText="1"/>
    </xf>
    <xf numFmtId="165" fontId="1" fillId="0" borderId="0" xfId="0" applyNumberFormat="1" applyFont="1"/>
    <xf numFmtId="43" fontId="1" fillId="0" borderId="0" xfId="0" applyNumberFormat="1" applyFont="1"/>
    <xf numFmtId="43" fontId="17" fillId="0" borderId="0" xfId="2" applyFont="1" applyFill="1" applyBorder="1" applyProtection="1"/>
    <xf numFmtId="43" fontId="2" fillId="0" borderId="0" xfId="2" applyFont="1" applyFill="1" applyBorder="1" applyProtection="1"/>
    <xf numFmtId="0" fontId="1" fillId="0" borderId="17" xfId="0" applyFont="1" applyBorder="1" applyAlignment="1">
      <alignment vertical="center"/>
    </xf>
    <xf numFmtId="2" fontId="18" fillId="0" borderId="17" xfId="0" applyNumberFormat="1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0" xfId="0" applyFont="1" applyAlignment="1">
      <alignment vertical="center"/>
    </xf>
    <xf numFmtId="2" fontId="18" fillId="0" borderId="0" xfId="0" applyNumberFormat="1" applyFont="1" applyAlignment="1">
      <alignment vertical="center"/>
    </xf>
    <xf numFmtId="2" fontId="19" fillId="4" borderId="4" xfId="0" applyNumberFormat="1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vertical="center"/>
      <protection locked="0"/>
    </xf>
    <xf numFmtId="165" fontId="18" fillId="0" borderId="4" xfId="0" applyNumberFormat="1" applyFont="1" applyBorder="1" applyAlignment="1" applyProtection="1">
      <alignment horizontal="center" vertical="center"/>
      <protection locked="0"/>
    </xf>
    <xf numFmtId="165" fontId="18" fillId="0" borderId="4" xfId="2" applyNumberFormat="1" applyFont="1" applyFill="1" applyBorder="1" applyAlignment="1" applyProtection="1">
      <alignment horizontal="center" vertical="center"/>
    </xf>
    <xf numFmtId="165" fontId="18" fillId="0" borderId="4" xfId="2" applyNumberFormat="1" applyFont="1" applyFill="1" applyBorder="1" applyAlignment="1" applyProtection="1">
      <alignment horizontal="center" vertical="center"/>
      <protection locked="0"/>
    </xf>
    <xf numFmtId="165" fontId="18" fillId="0" borderId="25" xfId="2" applyNumberFormat="1" applyFont="1" applyFill="1" applyBorder="1" applyAlignment="1" applyProtection="1">
      <alignment horizontal="center" vertical="center"/>
      <protection locked="0"/>
    </xf>
    <xf numFmtId="165" fontId="18" fillId="0" borderId="4" xfId="0" applyNumberFormat="1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18" fillId="0" borderId="0" xfId="0" applyFont="1" applyAlignment="1">
      <alignment horizontal="center" vertical="center"/>
    </xf>
    <xf numFmtId="1" fontId="19" fillId="0" borderId="0" xfId="2" applyNumberFormat="1" applyFont="1" applyFill="1" applyBorder="1" applyAlignment="1" applyProtection="1">
      <alignment horizontal="center" vertical="center"/>
    </xf>
    <xf numFmtId="2" fontId="19" fillId="0" borderId="0" xfId="2" applyNumberFormat="1" applyFont="1" applyFill="1" applyBorder="1" applyAlignment="1" applyProtection="1">
      <alignment horizontal="center" vertical="center"/>
    </xf>
    <xf numFmtId="1" fontId="19" fillId="0" borderId="23" xfId="2" applyNumberFormat="1" applyFont="1" applyFill="1" applyBorder="1" applyAlignment="1" applyProtection="1">
      <alignment horizontal="center" vertical="center"/>
    </xf>
    <xf numFmtId="165" fontId="19" fillId="0" borderId="6" xfId="2" applyNumberFormat="1" applyFont="1" applyFill="1" applyBorder="1" applyAlignment="1" applyProtection="1">
      <alignment horizontal="center" vertical="center"/>
    </xf>
    <xf numFmtId="165" fontId="19" fillId="0" borderId="37" xfId="2" applyNumberFormat="1" applyFont="1" applyFill="1" applyBorder="1" applyAlignment="1" applyProtection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43" fontId="18" fillId="0" borderId="0" xfId="2" applyFont="1" applyBorder="1" applyAlignment="1">
      <alignment horizontal="center" vertical="center"/>
    </xf>
    <xf numFmtId="165" fontId="18" fillId="0" borderId="23" xfId="0" applyNumberFormat="1" applyFont="1" applyBorder="1" applyAlignment="1">
      <alignment horizontal="center" vertical="center"/>
    </xf>
    <xf numFmtId="165" fontId="18" fillId="0" borderId="0" xfId="0" applyNumberFormat="1" applyFont="1"/>
    <xf numFmtId="0" fontId="1" fillId="0" borderId="4" xfId="0" applyFont="1" applyBorder="1" applyAlignment="1" applyProtection="1">
      <alignment horizontal="left" vertical="center"/>
      <protection locked="0"/>
    </xf>
    <xf numFmtId="43" fontId="1" fillId="0" borderId="4" xfId="2" applyFont="1" applyFill="1" applyBorder="1" applyAlignment="1" applyProtection="1">
      <alignment horizontal="right" vertical="center"/>
      <protection locked="0"/>
    </xf>
    <xf numFmtId="43" fontId="1" fillId="0" borderId="4" xfId="2" applyFont="1" applyFill="1" applyBorder="1" applyAlignment="1" applyProtection="1">
      <alignment horizontal="right" vertical="center"/>
    </xf>
    <xf numFmtId="2" fontId="1" fillId="0" borderId="4" xfId="2" applyNumberFormat="1" applyFont="1" applyFill="1" applyBorder="1" applyAlignment="1" applyProtection="1">
      <alignment horizontal="right" vertical="center"/>
      <protection locked="0"/>
    </xf>
    <xf numFmtId="165" fontId="1" fillId="0" borderId="25" xfId="2" applyNumberFormat="1" applyFont="1" applyFill="1" applyBorder="1" applyAlignment="1" applyProtection="1">
      <alignment horizontal="right" vertical="center"/>
    </xf>
    <xf numFmtId="165" fontId="2" fillId="0" borderId="4" xfId="2" applyNumberFormat="1" applyFont="1" applyFill="1" applyBorder="1" applyAlignment="1" applyProtection="1">
      <alignment horizontal="right" vertical="center"/>
    </xf>
    <xf numFmtId="165" fontId="2" fillId="0" borderId="25" xfId="2" applyNumberFormat="1" applyFont="1" applyFill="1" applyBorder="1" applyAlignment="1" applyProtection="1">
      <alignment horizontal="right" vertical="center"/>
    </xf>
    <xf numFmtId="0" fontId="7" fillId="0" borderId="0" xfId="0" applyFont="1" applyAlignment="1">
      <alignment vertical="center" wrapText="1"/>
    </xf>
    <xf numFmtId="165" fontId="18" fillId="0" borderId="23" xfId="0" applyNumberFormat="1" applyFont="1" applyBorder="1" applyAlignment="1">
      <alignment vertical="center"/>
    </xf>
    <xf numFmtId="165" fontId="18" fillId="0" borderId="0" xfId="0" applyNumberFormat="1" applyFont="1" applyAlignment="1">
      <alignment vertical="center"/>
    </xf>
    <xf numFmtId="43" fontId="18" fillId="0" borderId="23" xfId="2" applyFont="1" applyBorder="1" applyAlignment="1">
      <alignment vertical="center"/>
    </xf>
    <xf numFmtId="0" fontId="18" fillId="0" borderId="0" xfId="0" applyFont="1" applyAlignment="1">
      <alignment horizontal="center"/>
    </xf>
    <xf numFmtId="43" fontId="18" fillId="0" borderId="23" xfId="2" applyFont="1" applyBorder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2" fontId="18" fillId="0" borderId="4" xfId="2" applyNumberFormat="1" applyFont="1" applyFill="1" applyBorder="1" applyAlignment="1" applyProtection="1">
      <alignment horizontal="center" vertical="center"/>
    </xf>
    <xf numFmtId="43" fontId="18" fillId="0" borderId="4" xfId="2" applyFont="1" applyFill="1" applyBorder="1" applyAlignment="1" applyProtection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16" xfId="0" applyFont="1" applyBorder="1" applyAlignment="1">
      <alignment vertical="center" wrapText="1"/>
    </xf>
    <xf numFmtId="0" fontId="3" fillId="0" borderId="13" xfId="0" applyFont="1" applyBorder="1" applyAlignment="1" applyProtection="1">
      <alignment horizontal="center" vertical="center"/>
      <protection locked="0"/>
    </xf>
    <xf numFmtId="43" fontId="1" fillId="0" borderId="4" xfId="2" applyFont="1" applyFill="1" applyBorder="1" applyAlignment="1" applyProtection="1">
      <alignment horizontal="center" vertical="center"/>
      <protection locked="0"/>
    </xf>
    <xf numFmtId="2" fontId="19" fillId="0" borderId="4" xfId="4" applyNumberFormat="1" applyFont="1" applyFill="1" applyBorder="1" applyAlignment="1" applyProtection="1">
      <alignment horizontal="center" vertical="center" wrapText="1"/>
    </xf>
    <xf numFmtId="0" fontId="29" fillId="0" borderId="0" xfId="0" applyFont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28" fillId="0" borderId="0" xfId="0" applyFont="1" applyAlignment="1">
      <alignment horizontal="left"/>
    </xf>
    <xf numFmtId="0" fontId="28" fillId="0" borderId="23" xfId="0" applyFont="1" applyBorder="1" applyAlignment="1">
      <alignment horizontal="left"/>
    </xf>
    <xf numFmtId="0" fontId="8" fillId="0" borderId="1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left" vertical="center" wrapText="1"/>
    </xf>
    <xf numFmtId="0" fontId="19" fillId="2" borderId="29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19" fillId="2" borderId="30" xfId="0" applyFont="1" applyFill="1" applyBorder="1" applyAlignment="1">
      <alignment horizontal="center" vertical="center" wrapText="1"/>
    </xf>
    <xf numFmtId="0" fontId="19" fillId="2" borderId="26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33" xfId="0" applyFont="1" applyFill="1" applyBorder="1" applyAlignment="1">
      <alignment horizontal="center" vertical="center" wrapText="1"/>
    </xf>
    <xf numFmtId="0" fontId="19" fillId="2" borderId="24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25" xfId="0" applyFont="1" applyFill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right" vertical="center" wrapText="1"/>
    </xf>
    <xf numFmtId="0" fontId="19" fillId="0" borderId="8" xfId="0" applyFont="1" applyBorder="1" applyAlignment="1">
      <alignment horizontal="right" vertical="center" wrapText="1"/>
    </xf>
    <xf numFmtId="0" fontId="19" fillId="0" borderId="3" xfId="0" applyFont="1" applyBorder="1" applyAlignment="1">
      <alignment horizontal="right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2" borderId="2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9" fillId="0" borderId="29" xfId="0" applyFont="1" applyBorder="1" applyAlignment="1" applyProtection="1">
      <alignment horizontal="center" vertical="center"/>
      <protection locked="0"/>
    </xf>
    <xf numFmtId="0" fontId="9" fillId="2" borderId="24" xfId="0" applyFont="1" applyFill="1" applyBorder="1" applyAlignment="1" applyProtection="1">
      <alignment horizontal="center" vertical="center" wrapText="1"/>
      <protection locked="0"/>
    </xf>
    <xf numFmtId="0" fontId="9" fillId="2" borderId="15" xfId="0" applyFont="1" applyFill="1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0" fontId="9" fillId="2" borderId="25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 applyProtection="1">
      <alignment horizontal="center" vertical="center"/>
      <protection locked="0"/>
    </xf>
    <xf numFmtId="0" fontId="19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44" fontId="8" fillId="0" borderId="4" xfId="6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5" fillId="0" borderId="18" xfId="0" applyFont="1" applyBorder="1" applyAlignment="1" applyProtection="1">
      <alignment horizont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5" fillId="0" borderId="18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4" fontId="2" fillId="0" borderId="3" xfId="4" applyFont="1" applyBorder="1" applyAlignment="1">
      <alignment horizontal="center" vertical="center" wrapText="1"/>
    </xf>
    <xf numFmtId="44" fontId="2" fillId="0" borderId="1" xfId="4" applyFont="1" applyBorder="1" applyAlignment="1">
      <alignment horizontal="center" vertical="center" wrapText="1"/>
    </xf>
    <xf numFmtId="44" fontId="2" fillId="0" borderId="2" xfId="4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4" fillId="0" borderId="16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</cellXfs>
  <cellStyles count="7">
    <cellStyle name="Euro" xfId="1" xr:uid="{00000000-0005-0000-0000-000000000000}"/>
    <cellStyle name="Millares" xfId="2" builtinId="3"/>
    <cellStyle name="Moneda" xfId="4" builtinId="4"/>
    <cellStyle name="Moneda 2" xfId="6" xr:uid="{00000000-0005-0000-0000-000003000000}"/>
    <cellStyle name="Normal" xfId="0" builtinId="0"/>
    <cellStyle name="Normal 2" xfId="3" xr:uid="{00000000-0005-0000-0000-000005000000}"/>
    <cellStyle name="Porcentaje 2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141757</xdr:colOff>
      <xdr:row>1</xdr:row>
      <xdr:rowOff>79562</xdr:rowOff>
    </xdr:from>
    <xdr:to>
      <xdr:col>3</xdr:col>
      <xdr:colOff>1657351</xdr:colOff>
      <xdr:row>7</xdr:row>
      <xdr:rowOff>285678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EA38401-822C-4C7C-829F-46DE9F2DA6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2957" y="238312"/>
          <a:ext cx="1515594" cy="14221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225136</xdr:colOff>
      <xdr:row>0</xdr:row>
      <xdr:rowOff>79563</xdr:rowOff>
    </xdr:from>
    <xdr:to>
      <xdr:col>3</xdr:col>
      <xdr:colOff>1549977</xdr:colOff>
      <xdr:row>6</xdr:row>
      <xdr:rowOff>135773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A4E4C3F-E9BD-483E-8404-E12D0C40B5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772" y="79563"/>
          <a:ext cx="1324841" cy="1311778"/>
        </a:xfrm>
        <a:prstGeom prst="rect">
          <a:avLst/>
        </a:prstGeom>
      </xdr:spPr>
    </xdr:pic>
    <xdr:clientData/>
  </xdr:twoCellAnchor>
  <xdr:twoCellAnchor editAs="oneCell">
    <xdr:from>
      <xdr:col>3</xdr:col>
      <xdr:colOff>92363</xdr:colOff>
      <xdr:row>0</xdr:row>
      <xdr:rowOff>5773</xdr:rowOff>
    </xdr:from>
    <xdr:to>
      <xdr:col>3</xdr:col>
      <xdr:colOff>1590386</xdr:colOff>
      <xdr:row>6</xdr:row>
      <xdr:rowOff>180790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AFF0AFF-4DBA-4EA9-86AD-2B73A61589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545" y="5773"/>
          <a:ext cx="1498023" cy="14276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294179</xdr:colOff>
      <xdr:row>0</xdr:row>
      <xdr:rowOff>0</xdr:rowOff>
    </xdr:from>
    <xdr:to>
      <xdr:col>3</xdr:col>
      <xdr:colOff>1422093</xdr:colOff>
      <xdr:row>5</xdr:row>
      <xdr:rowOff>440765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B750E4B-2EA9-461B-AF02-33D6BF833D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3826" y="0"/>
          <a:ext cx="1812407" cy="153894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57727</xdr:rowOff>
    </xdr:from>
    <xdr:to>
      <xdr:col>3</xdr:col>
      <xdr:colOff>1725705</xdr:colOff>
      <xdr:row>8</xdr:row>
      <xdr:rowOff>338118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B32C21-5D86-418E-AF03-6C60C5C1A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9300" y="489527"/>
          <a:ext cx="1725705" cy="157579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19050</xdr:rowOff>
    </xdr:from>
    <xdr:ext cx="1001859" cy="1012824"/>
    <xdr:pic>
      <xdr:nvPicPr>
        <xdr:cNvPr id="2" name="Imagen 1">
          <a:extLst>
            <a:ext uri="{FF2B5EF4-FFF2-40B4-BE49-F238E27FC236}">
              <a16:creationId xmlns:a16="http://schemas.microsoft.com/office/drawing/2014/main" id="{C439F81E-4B44-4BF1-A98A-83A1890CB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9050"/>
          <a:ext cx="1001859" cy="1012824"/>
        </a:xfrm>
        <a:prstGeom prst="rect">
          <a:avLst/>
        </a:prstGeom>
      </xdr:spPr>
    </xdr:pic>
    <xdr:clientData/>
  </xdr:oneCellAnchor>
  <xdr:oneCellAnchor>
    <xdr:from>
      <xdr:col>0</xdr:col>
      <xdr:colOff>295275</xdr:colOff>
      <xdr:row>31</xdr:row>
      <xdr:rowOff>180975</xdr:rowOff>
    </xdr:from>
    <xdr:ext cx="1001859" cy="1031874"/>
    <xdr:pic>
      <xdr:nvPicPr>
        <xdr:cNvPr id="3" name="Imagen 2">
          <a:extLst>
            <a:ext uri="{FF2B5EF4-FFF2-40B4-BE49-F238E27FC236}">
              <a16:creationId xmlns:a16="http://schemas.microsoft.com/office/drawing/2014/main" id="{C84E740E-5170-4F69-9854-3114512C3F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7553325"/>
          <a:ext cx="1001859" cy="1031874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187842</xdr:colOff>
      <xdr:row>1</xdr:row>
      <xdr:rowOff>85990</xdr:rowOff>
    </xdr:from>
    <xdr:to>
      <xdr:col>3</xdr:col>
      <xdr:colOff>1375067</xdr:colOff>
      <xdr:row>5</xdr:row>
      <xdr:rowOff>38237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82A42A8-3578-48BB-9206-EAC3C2378A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3342" y="263790"/>
          <a:ext cx="1187225" cy="1126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251127</xdr:colOff>
      <xdr:row>1</xdr:row>
      <xdr:rowOff>87587</xdr:rowOff>
    </xdr:from>
    <xdr:to>
      <xdr:col>3</xdr:col>
      <xdr:colOff>1429515</xdr:colOff>
      <xdr:row>4</xdr:row>
      <xdr:rowOff>54741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4DFAA5C-CB58-4E7A-9819-111F1141C6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627" y="265387"/>
          <a:ext cx="1178388" cy="1110154"/>
        </a:xfrm>
        <a:prstGeom prst="rect">
          <a:avLst/>
        </a:prstGeom>
      </xdr:spPr>
    </xdr:pic>
    <xdr:clientData/>
  </xdr:twoCellAnchor>
  <xdr:twoCellAnchor editAs="oneCell">
    <xdr:from>
      <xdr:col>3</xdr:col>
      <xdr:colOff>187842</xdr:colOff>
      <xdr:row>1</xdr:row>
      <xdr:rowOff>85990</xdr:rowOff>
    </xdr:from>
    <xdr:to>
      <xdr:col>3</xdr:col>
      <xdr:colOff>1375067</xdr:colOff>
      <xdr:row>4</xdr:row>
      <xdr:rowOff>178703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3042FEF-13CB-416E-9AAD-6AEA9F9027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3342" y="263790"/>
          <a:ext cx="1187225" cy="1235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67"/>
  <sheetViews>
    <sheetView showGridLines="0" workbookViewId="0">
      <selection activeCell="F51" sqref="F51:G60"/>
    </sheetView>
  </sheetViews>
  <sheetFormatPr baseColWidth="10" defaultColWidth="11.42578125" defaultRowHeight="12.75" x14ac:dyDescent="0.2"/>
  <cols>
    <col min="2" max="4" width="13.7109375" customWidth="1"/>
    <col min="6" max="7" width="13.7109375" customWidth="1"/>
  </cols>
  <sheetData>
    <row r="2" spans="1:7" ht="18.75" x14ac:dyDescent="0.3">
      <c r="B2" s="7" t="s">
        <v>26</v>
      </c>
      <c r="C2" s="8"/>
      <c r="D2" s="8"/>
      <c r="E2" s="8"/>
      <c r="F2" s="8"/>
      <c r="G2" s="8"/>
    </row>
    <row r="3" spans="1:7" x14ac:dyDescent="0.2">
      <c r="B3" s="9" t="s">
        <v>25</v>
      </c>
      <c r="C3" s="8"/>
      <c r="D3" s="8"/>
      <c r="E3" s="8"/>
      <c r="F3" s="8"/>
      <c r="G3" s="8"/>
    </row>
    <row r="4" spans="1:7" x14ac:dyDescent="0.2">
      <c r="B4" s="20" t="s">
        <v>435</v>
      </c>
      <c r="C4" s="8"/>
      <c r="D4" s="8"/>
      <c r="E4" s="8"/>
      <c r="F4" s="8"/>
      <c r="G4" s="8"/>
    </row>
    <row r="5" spans="1:7" x14ac:dyDescent="0.2">
      <c r="B5" t="s">
        <v>470</v>
      </c>
      <c r="C5" s="8"/>
      <c r="D5" s="8"/>
      <c r="E5" s="8"/>
      <c r="F5" s="8"/>
      <c r="G5" s="8"/>
    </row>
    <row r="6" spans="1:7" x14ac:dyDescent="0.2">
      <c r="B6" s="8"/>
      <c r="C6" s="8"/>
      <c r="D6" s="8"/>
      <c r="E6" s="8"/>
      <c r="F6" s="8"/>
      <c r="G6" s="8"/>
    </row>
    <row r="7" spans="1:7" ht="18.75" customHeight="1" x14ac:dyDescent="0.2">
      <c r="B7" s="368" t="s">
        <v>4</v>
      </c>
      <c r="C7" s="368"/>
      <c r="D7" s="368"/>
      <c r="E7" s="8"/>
      <c r="F7" s="361" t="s">
        <v>19</v>
      </c>
      <c r="G7" s="362"/>
    </row>
    <row r="8" spans="1:7" ht="14.25" customHeight="1" x14ac:dyDescent="0.2">
      <c r="B8" s="365" t="s">
        <v>3</v>
      </c>
      <c r="C8" s="365"/>
      <c r="D8" s="365"/>
      <c r="E8" s="8"/>
      <c r="F8" s="366" t="s">
        <v>20</v>
      </c>
      <c r="G8" s="367"/>
    </row>
    <row r="9" spans="1:7" ht="8.25" customHeight="1" x14ac:dyDescent="0.2">
      <c r="B9" s="369"/>
      <c r="C9" s="369"/>
      <c r="D9" s="369"/>
      <c r="E9" s="8"/>
      <c r="F9" s="363"/>
      <c r="G9" s="364"/>
    </row>
    <row r="10" spans="1:7" ht="16.5" customHeight="1" x14ac:dyDescent="0.2">
      <c r="B10" s="10" t="s">
        <v>5</v>
      </c>
      <c r="C10" s="10" t="s">
        <v>7</v>
      </c>
      <c r="D10" s="10" t="s">
        <v>2</v>
      </c>
      <c r="E10" s="8"/>
      <c r="F10" s="10" t="s">
        <v>10</v>
      </c>
      <c r="G10" s="10" t="s">
        <v>21</v>
      </c>
    </row>
    <row r="11" spans="1:7" x14ac:dyDescent="0.2">
      <c r="A11" s="2"/>
      <c r="B11" s="10" t="s">
        <v>6</v>
      </c>
      <c r="C11" s="10" t="s">
        <v>8</v>
      </c>
      <c r="D11" s="10" t="s">
        <v>9</v>
      </c>
      <c r="E11" s="8"/>
      <c r="F11" s="10"/>
      <c r="G11" s="10" t="s">
        <v>22</v>
      </c>
    </row>
    <row r="12" spans="1:7" x14ac:dyDescent="0.2">
      <c r="A12" s="3"/>
      <c r="B12" s="11"/>
      <c r="C12" s="11"/>
      <c r="D12" s="11"/>
      <c r="E12" s="12"/>
      <c r="F12" s="11"/>
      <c r="G12" s="11"/>
    </row>
    <row r="13" spans="1:7" ht="15.95" customHeight="1" x14ac:dyDescent="0.2">
      <c r="A13" s="1"/>
      <c r="B13" s="21">
        <v>0.01</v>
      </c>
      <c r="C13" s="21">
        <v>0</v>
      </c>
      <c r="D13" s="22">
        <v>1.9199999999999998E-2</v>
      </c>
      <c r="E13" s="15"/>
      <c r="F13" s="21">
        <v>0.01</v>
      </c>
      <c r="G13" s="21">
        <v>390</v>
      </c>
    </row>
    <row r="14" spans="1:7" ht="15.95" customHeight="1" x14ac:dyDescent="0.2">
      <c r="A14" s="1"/>
      <c r="B14" s="21">
        <v>746.05</v>
      </c>
      <c r="C14" s="21">
        <v>14.32</v>
      </c>
      <c r="D14" s="22">
        <v>6.4000000000000001E-2</v>
      </c>
      <c r="E14" s="15"/>
      <c r="F14" s="21">
        <v>9081.01</v>
      </c>
      <c r="G14" s="21">
        <v>0</v>
      </c>
    </row>
    <row r="15" spans="1:7" ht="15.95" customHeight="1" x14ac:dyDescent="0.2">
      <c r="A15" s="1"/>
      <c r="B15" s="21">
        <v>6332.06</v>
      </c>
      <c r="C15" s="21">
        <v>371.83</v>
      </c>
      <c r="D15" s="22">
        <v>0.10879999999999999</v>
      </c>
      <c r="E15" s="15"/>
      <c r="F15" s="21">
        <v>9081.01</v>
      </c>
      <c r="G15" s="21">
        <v>0</v>
      </c>
    </row>
    <row r="16" spans="1:7" ht="15.95" customHeight="1" x14ac:dyDescent="0.2">
      <c r="A16" s="1"/>
      <c r="B16" s="21">
        <v>11128.02</v>
      </c>
      <c r="C16" s="21">
        <v>893.63</v>
      </c>
      <c r="D16" s="22">
        <v>0.16</v>
      </c>
      <c r="E16" s="15"/>
      <c r="F16" s="21">
        <v>9081.01</v>
      </c>
      <c r="G16" s="21">
        <v>0</v>
      </c>
    </row>
    <row r="17" spans="1:7" ht="15.95" customHeight="1" x14ac:dyDescent="0.2">
      <c r="A17" s="1"/>
      <c r="B17" s="21">
        <v>12935.83</v>
      </c>
      <c r="C17" s="21">
        <v>1182.8800000000001</v>
      </c>
      <c r="D17" s="22">
        <v>0.1792</v>
      </c>
      <c r="E17" s="15"/>
      <c r="F17" s="21">
        <v>9081.01</v>
      </c>
      <c r="G17" s="21">
        <v>0</v>
      </c>
    </row>
    <row r="18" spans="1:7" ht="15.95" customHeight="1" x14ac:dyDescent="0.2">
      <c r="A18" s="1"/>
      <c r="B18" s="21">
        <v>15487.72</v>
      </c>
      <c r="C18" s="21">
        <v>1640.18</v>
      </c>
      <c r="D18" s="22">
        <v>0.21360000000000001</v>
      </c>
      <c r="E18" s="15"/>
      <c r="F18" s="21">
        <v>9081.01</v>
      </c>
      <c r="G18" s="21">
        <v>0</v>
      </c>
    </row>
    <row r="19" spans="1:7" ht="15.95" customHeight="1" x14ac:dyDescent="0.2">
      <c r="A19" s="1"/>
      <c r="B19" s="21">
        <v>31236.5</v>
      </c>
      <c r="C19" s="21">
        <v>5004.12</v>
      </c>
      <c r="D19" s="22">
        <v>0.23519999999999999</v>
      </c>
      <c r="E19" s="8"/>
      <c r="F19" s="21">
        <v>9081.01</v>
      </c>
      <c r="G19" s="21">
        <v>0</v>
      </c>
    </row>
    <row r="20" spans="1:7" ht="15.95" customHeight="1" x14ac:dyDescent="0.2">
      <c r="A20" s="1"/>
      <c r="B20" s="21">
        <v>49233.01</v>
      </c>
      <c r="C20" s="21">
        <v>9236.89</v>
      </c>
      <c r="D20" s="22">
        <v>0.3</v>
      </c>
      <c r="E20" s="8"/>
      <c r="F20" s="21">
        <v>9081.01</v>
      </c>
      <c r="G20" s="21">
        <v>0</v>
      </c>
    </row>
    <row r="21" spans="1:7" x14ac:dyDescent="0.2">
      <c r="A21" s="1"/>
      <c r="B21" s="21">
        <v>93993.91</v>
      </c>
      <c r="C21" s="21">
        <v>22665.17</v>
      </c>
      <c r="D21" s="22">
        <v>0.32</v>
      </c>
      <c r="E21" s="8"/>
      <c r="F21" s="21">
        <v>9081.01</v>
      </c>
      <c r="G21" s="21">
        <v>0</v>
      </c>
    </row>
    <row r="22" spans="1:7" ht="15" customHeight="1" x14ac:dyDescent="0.2">
      <c r="A22" s="1"/>
      <c r="B22" s="21">
        <v>125325.21</v>
      </c>
      <c r="C22" s="21">
        <v>32691.18</v>
      </c>
      <c r="D22" s="22">
        <v>0.34</v>
      </c>
      <c r="E22" s="8"/>
      <c r="F22" s="21">
        <v>9081.01</v>
      </c>
      <c r="G22" s="21">
        <v>0</v>
      </c>
    </row>
    <row r="23" spans="1:7" x14ac:dyDescent="0.2">
      <c r="B23" s="21">
        <v>375975.62</v>
      </c>
      <c r="C23" s="21">
        <v>117912.32000000001</v>
      </c>
      <c r="D23" s="22">
        <v>0.35</v>
      </c>
      <c r="E23" s="8"/>
      <c r="F23" s="21">
        <v>9081.01</v>
      </c>
      <c r="G23" s="21">
        <v>0</v>
      </c>
    </row>
    <row r="24" spans="1:7" x14ac:dyDescent="0.2">
      <c r="B24" s="16"/>
      <c r="C24" s="16"/>
      <c r="D24" s="17"/>
      <c r="E24" s="8"/>
      <c r="F24" s="18"/>
      <c r="G24" s="18"/>
    </row>
    <row r="25" spans="1:7" x14ac:dyDescent="0.2">
      <c r="E25" s="8"/>
      <c r="F25" s="8"/>
      <c r="G25" s="8"/>
    </row>
    <row r="26" spans="1:7" x14ac:dyDescent="0.2">
      <c r="B26" s="8"/>
      <c r="C26" s="8"/>
      <c r="D26" s="8"/>
      <c r="E26" s="8"/>
      <c r="F26" s="8"/>
      <c r="G26" s="8"/>
    </row>
    <row r="27" spans="1:7" x14ac:dyDescent="0.2">
      <c r="B27" s="8"/>
      <c r="C27" s="8"/>
      <c r="D27" s="8"/>
      <c r="E27" s="8"/>
      <c r="F27" s="8"/>
      <c r="G27" s="8"/>
    </row>
    <row r="28" spans="1:7" x14ac:dyDescent="0.2">
      <c r="C28" s="8"/>
      <c r="D28" s="8"/>
      <c r="E28" s="8"/>
      <c r="F28" s="8"/>
      <c r="G28" s="8"/>
    </row>
    <row r="29" spans="1:7" x14ac:dyDescent="0.2">
      <c r="C29" s="8"/>
      <c r="D29" s="8"/>
      <c r="E29" s="8"/>
      <c r="F29" s="8"/>
      <c r="G29" s="8"/>
    </row>
    <row r="30" spans="1:7" x14ac:dyDescent="0.2">
      <c r="C30" s="8"/>
      <c r="D30" s="8"/>
      <c r="E30" s="8"/>
      <c r="F30" s="8"/>
      <c r="G30" s="8"/>
    </row>
    <row r="31" spans="1:7" x14ac:dyDescent="0.2">
      <c r="C31" s="8"/>
      <c r="D31" s="8"/>
      <c r="E31" s="8"/>
      <c r="F31" s="8"/>
      <c r="G31" s="8"/>
    </row>
    <row r="32" spans="1:7" x14ac:dyDescent="0.2">
      <c r="B32" s="8"/>
      <c r="C32" s="8"/>
      <c r="D32" s="8"/>
      <c r="E32" s="8"/>
      <c r="F32" s="8"/>
      <c r="G32" s="8"/>
    </row>
    <row r="33" spans="2:7" x14ac:dyDescent="0.2">
      <c r="B33" s="9" t="s">
        <v>13</v>
      </c>
      <c r="C33" s="8"/>
      <c r="D33" s="8"/>
    </row>
    <row r="34" spans="2:7" ht="15.75" x14ac:dyDescent="0.25">
      <c r="B34" s="19" t="s">
        <v>433</v>
      </c>
      <c r="C34" s="8"/>
      <c r="D34" s="8"/>
    </row>
    <row r="35" spans="2:7" x14ac:dyDescent="0.2">
      <c r="B35" s="23" t="s">
        <v>434</v>
      </c>
      <c r="C35" s="8"/>
      <c r="D35" s="8"/>
    </row>
    <row r="37" spans="2:7" x14ac:dyDescent="0.2">
      <c r="B37" t="s">
        <v>470</v>
      </c>
    </row>
    <row r="44" spans="2:7" ht="17.25" customHeight="1" x14ac:dyDescent="0.2">
      <c r="B44" s="6" t="s">
        <v>18</v>
      </c>
      <c r="E44" s="8"/>
      <c r="F44" s="361" t="s">
        <v>23</v>
      </c>
      <c r="G44" s="362"/>
    </row>
    <row r="45" spans="2:7" x14ac:dyDescent="0.2">
      <c r="E45" s="8"/>
      <c r="F45" s="366" t="s">
        <v>24</v>
      </c>
      <c r="G45" s="367"/>
    </row>
    <row r="46" spans="2:7" ht="5.25" customHeight="1" x14ac:dyDescent="0.2">
      <c r="E46" s="8"/>
      <c r="F46" s="363"/>
      <c r="G46" s="364"/>
    </row>
    <row r="47" spans="2:7" x14ac:dyDescent="0.2">
      <c r="B47" s="368" t="s">
        <v>4</v>
      </c>
      <c r="C47" s="368"/>
      <c r="D47" s="368"/>
      <c r="E47" s="8"/>
      <c r="F47" s="10" t="s">
        <v>10</v>
      </c>
      <c r="G47" s="10" t="s">
        <v>11</v>
      </c>
    </row>
    <row r="48" spans="2:7" x14ac:dyDescent="0.2">
      <c r="B48" s="365" t="s">
        <v>3</v>
      </c>
      <c r="C48" s="365"/>
      <c r="D48" s="365"/>
      <c r="E48" s="8"/>
      <c r="F48" s="10"/>
      <c r="G48" s="10" t="s">
        <v>12</v>
      </c>
    </row>
    <row r="49" spans="2:7" x14ac:dyDescent="0.2">
      <c r="B49" s="369"/>
      <c r="C49" s="369"/>
      <c r="D49" s="369"/>
      <c r="E49" s="12"/>
      <c r="F49" s="11"/>
      <c r="G49" s="11"/>
    </row>
    <row r="50" spans="2:7" ht="15.95" customHeight="1" x14ac:dyDescent="0.2">
      <c r="B50" s="10" t="s">
        <v>5</v>
      </c>
      <c r="C50" s="10" t="s">
        <v>7</v>
      </c>
      <c r="D50" s="10" t="s">
        <v>2</v>
      </c>
      <c r="E50" s="15"/>
      <c r="F50" s="13">
        <v>0.01</v>
      </c>
      <c r="G50" s="13">
        <v>195</v>
      </c>
    </row>
    <row r="51" spans="2:7" ht="15.95" customHeight="1" x14ac:dyDescent="0.2">
      <c r="B51" s="10" t="s">
        <v>6</v>
      </c>
      <c r="C51" s="10" t="s">
        <v>8</v>
      </c>
      <c r="D51" s="10" t="s">
        <v>9</v>
      </c>
      <c r="E51" s="15"/>
      <c r="F51" s="13">
        <v>4540.5050000000001</v>
      </c>
      <c r="G51" s="13">
        <v>0</v>
      </c>
    </row>
    <row r="52" spans="2:7" ht="15.95" customHeight="1" x14ac:dyDescent="0.2">
      <c r="B52" s="11"/>
      <c r="C52" s="11"/>
      <c r="D52" s="11"/>
      <c r="E52" s="15"/>
      <c r="F52" s="13">
        <v>4540.5050000000001</v>
      </c>
      <c r="G52" s="13">
        <v>0</v>
      </c>
    </row>
    <row r="53" spans="2:7" ht="15.95" customHeight="1" x14ac:dyDescent="0.2">
      <c r="B53" s="13">
        <v>0.01</v>
      </c>
      <c r="C53" s="13">
        <v>0</v>
      </c>
      <c r="D53" s="14">
        <f>D13</f>
        <v>1.9199999999999998E-2</v>
      </c>
      <c r="E53" s="15"/>
      <c r="F53" s="13">
        <v>4540.5050000000001</v>
      </c>
      <c r="G53" s="13">
        <v>0</v>
      </c>
    </row>
    <row r="54" spans="2:7" ht="15.95" customHeight="1" x14ac:dyDescent="0.2">
      <c r="B54" s="13">
        <v>368.11</v>
      </c>
      <c r="C54" s="13">
        <v>7.05</v>
      </c>
      <c r="D54" s="14">
        <f>D14</f>
        <v>6.4000000000000001E-2</v>
      </c>
      <c r="E54" s="15"/>
      <c r="F54" s="13">
        <v>4540.5050000000001</v>
      </c>
      <c r="G54" s="13">
        <v>0</v>
      </c>
    </row>
    <row r="55" spans="2:7" ht="15.95" customHeight="1" x14ac:dyDescent="0.2">
      <c r="B55" s="13">
        <v>3124.36</v>
      </c>
      <c r="C55" s="13">
        <v>183.45</v>
      </c>
      <c r="D55" s="14">
        <f t="shared" ref="D55:D63" si="0">D15</f>
        <v>0.10879999999999999</v>
      </c>
      <c r="E55" s="15"/>
      <c r="F55" s="13">
        <v>4540.5050000000001</v>
      </c>
      <c r="G55" s="13">
        <v>0</v>
      </c>
    </row>
    <row r="56" spans="2:7" ht="15.95" customHeight="1" x14ac:dyDescent="0.2">
      <c r="B56" s="13">
        <v>5490.76</v>
      </c>
      <c r="C56" s="13">
        <v>441</v>
      </c>
      <c r="D56" s="14">
        <f t="shared" si="0"/>
        <v>0.16</v>
      </c>
      <c r="E56" s="8"/>
      <c r="F56" s="13">
        <v>4540.5050000000001</v>
      </c>
      <c r="G56" s="13">
        <v>0</v>
      </c>
    </row>
    <row r="57" spans="2:7" ht="15.95" customHeight="1" x14ac:dyDescent="0.2">
      <c r="B57" s="13">
        <v>6382.81</v>
      </c>
      <c r="C57" s="13">
        <v>583.65</v>
      </c>
      <c r="D57" s="14">
        <f t="shared" si="0"/>
        <v>0.1792</v>
      </c>
      <c r="E57" s="8"/>
      <c r="F57" s="13">
        <v>4540.5050000000001</v>
      </c>
      <c r="G57" s="13">
        <v>0</v>
      </c>
    </row>
    <row r="58" spans="2:7" ht="15.95" customHeight="1" x14ac:dyDescent="0.2">
      <c r="B58" s="13">
        <v>7641.91</v>
      </c>
      <c r="C58" s="13">
        <v>809.25</v>
      </c>
      <c r="D58" s="14">
        <f t="shared" si="0"/>
        <v>0.21360000000000001</v>
      </c>
      <c r="E58" s="8"/>
      <c r="F58" s="13">
        <v>4540.5050000000001</v>
      </c>
      <c r="G58" s="13">
        <v>0</v>
      </c>
    </row>
    <row r="59" spans="2:7" ht="15.95" customHeight="1" x14ac:dyDescent="0.2">
      <c r="B59" s="13">
        <v>15412.81</v>
      </c>
      <c r="C59" s="13">
        <v>2469.15</v>
      </c>
      <c r="D59" s="14">
        <f t="shared" si="0"/>
        <v>0.23519999999999999</v>
      </c>
      <c r="E59" s="8"/>
      <c r="F59" s="13">
        <v>4540.5050000000001</v>
      </c>
      <c r="G59" s="13">
        <v>0</v>
      </c>
    </row>
    <row r="60" spans="2:7" ht="15.95" customHeight="1" x14ac:dyDescent="0.2">
      <c r="B60" s="13">
        <v>24292.66</v>
      </c>
      <c r="C60" s="13">
        <v>4557.75</v>
      </c>
      <c r="D60" s="14">
        <f t="shared" si="0"/>
        <v>0.3</v>
      </c>
      <c r="E60" s="8"/>
      <c r="F60" s="13">
        <v>4540.5050000000001</v>
      </c>
      <c r="G60" s="13">
        <v>0</v>
      </c>
    </row>
    <row r="61" spans="2:7" x14ac:dyDescent="0.2">
      <c r="B61" s="13">
        <v>46378.51</v>
      </c>
      <c r="C61" s="13">
        <v>11183.4</v>
      </c>
      <c r="D61" s="14">
        <f t="shared" si="0"/>
        <v>0.32</v>
      </c>
      <c r="E61" s="8"/>
      <c r="F61" s="18"/>
      <c r="G61" s="18"/>
    </row>
    <row r="62" spans="2:7" x14ac:dyDescent="0.2">
      <c r="B62" s="13">
        <v>61838.11</v>
      </c>
      <c r="C62" s="13">
        <v>16130.55</v>
      </c>
      <c r="D62" s="14">
        <f t="shared" si="0"/>
        <v>0.34</v>
      </c>
    </row>
    <row r="63" spans="2:7" x14ac:dyDescent="0.2">
      <c r="B63" s="13">
        <v>185514.31</v>
      </c>
      <c r="C63" s="13">
        <v>58180.35</v>
      </c>
      <c r="D63" s="14">
        <f t="shared" si="0"/>
        <v>0.35</v>
      </c>
    </row>
    <row r="64" spans="2:7" x14ac:dyDescent="0.2">
      <c r="B64" s="16"/>
      <c r="C64" s="16"/>
      <c r="D64" s="17"/>
    </row>
    <row r="66" spans="2:4" x14ac:dyDescent="0.2">
      <c r="B66" s="8"/>
      <c r="C66" s="8"/>
      <c r="D66" s="8"/>
    </row>
    <row r="67" spans="2:4" x14ac:dyDescent="0.2">
      <c r="B67" s="8"/>
      <c r="C67" s="8"/>
      <c r="D67" s="8"/>
    </row>
  </sheetData>
  <sheetProtection formatCells="0" formatColumns="0" formatRows="0" insertColumns="0" insertRows="0" insertHyperlinks="0" deleteColumns="0" deleteRows="0" sort="0" autoFilter="0" pivotTables="0"/>
  <mergeCells count="12">
    <mergeCell ref="B49:D49"/>
    <mergeCell ref="F46:G46"/>
    <mergeCell ref="B47:D47"/>
    <mergeCell ref="F44:G44"/>
    <mergeCell ref="B48:D48"/>
    <mergeCell ref="F45:G45"/>
    <mergeCell ref="F7:G7"/>
    <mergeCell ref="F9:G9"/>
    <mergeCell ref="B8:D8"/>
    <mergeCell ref="F8:G8"/>
    <mergeCell ref="B7:D7"/>
    <mergeCell ref="B9:D9"/>
  </mergeCells>
  <phoneticPr fontId="0" type="noConversion"/>
  <pageMargins left="0.75" right="0.75" top="1" bottom="1" header="0" footer="0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46"/>
  <sheetViews>
    <sheetView showGridLines="0" topLeftCell="A13" zoomScaleNormal="100" workbookViewId="0">
      <selection activeCell="F13" sqref="F1:F1048576"/>
    </sheetView>
  </sheetViews>
  <sheetFormatPr baseColWidth="10" defaultColWidth="11.42578125" defaultRowHeight="12.75" x14ac:dyDescent="0.2"/>
  <cols>
    <col min="1" max="1" width="2.5703125" style="5" customWidth="1"/>
    <col min="2" max="3" width="3.85546875" style="5" customWidth="1"/>
    <col min="4" max="4" width="28" style="307" customWidth="1"/>
    <col min="5" max="5" width="13.5703125" style="5" bestFit="1" customWidth="1"/>
    <col min="6" max="6" width="5.42578125" style="5" bestFit="1" customWidth="1"/>
    <col min="7" max="7" width="8.140625" style="5" bestFit="1" customWidth="1"/>
    <col min="8" max="8" width="11.42578125" style="32" customWidth="1"/>
    <col min="9" max="9" width="9.42578125" style="5" bestFit="1" customWidth="1"/>
    <col min="10" max="10" width="9.7109375" style="5" bestFit="1" customWidth="1"/>
    <col min="11" max="11" width="9.42578125" style="5" hidden="1" customWidth="1"/>
    <col min="12" max="12" width="10" style="5" customWidth="1"/>
    <col min="13" max="13" width="11.42578125" style="5" bestFit="1" customWidth="1"/>
    <col min="14" max="14" width="23.42578125" style="5" customWidth="1"/>
    <col min="15" max="16384" width="11.42578125" style="5"/>
  </cols>
  <sheetData>
    <row r="1" spans="1:14" x14ac:dyDescent="0.2">
      <c r="B1" s="268"/>
      <c r="C1" s="269"/>
      <c r="D1" s="270"/>
      <c r="E1" s="269"/>
      <c r="F1" s="269"/>
      <c r="G1" s="269"/>
      <c r="H1" s="271"/>
      <c r="I1" s="269"/>
      <c r="J1" s="269"/>
      <c r="K1" s="269"/>
      <c r="L1" s="269"/>
      <c r="M1" s="269"/>
      <c r="N1" s="272"/>
    </row>
    <row r="2" spans="1:14" ht="18.75" x14ac:dyDescent="0.3">
      <c r="B2" s="273"/>
      <c r="C2" s="48"/>
      <c r="D2" s="86"/>
      <c r="E2" s="370" t="s">
        <v>353</v>
      </c>
      <c r="F2" s="370"/>
      <c r="G2" s="370"/>
      <c r="H2" s="370"/>
      <c r="I2" s="370"/>
      <c r="J2" s="370"/>
      <c r="K2" s="370"/>
      <c r="L2" s="370"/>
      <c r="M2" s="370"/>
      <c r="N2" s="371"/>
    </row>
    <row r="3" spans="1:14" x14ac:dyDescent="0.2">
      <c r="B3" s="273"/>
      <c r="C3" s="48"/>
      <c r="D3" s="44"/>
      <c r="E3" s="48"/>
      <c r="F3" s="48"/>
      <c r="G3" s="48"/>
      <c r="H3" s="274"/>
      <c r="I3" s="48"/>
      <c r="J3" s="48"/>
      <c r="K3" s="48"/>
      <c r="L3" s="48"/>
      <c r="M3" s="48"/>
      <c r="N3" s="275"/>
    </row>
    <row r="4" spans="1:14" ht="27.75" customHeight="1" x14ac:dyDescent="0.4">
      <c r="B4" s="273"/>
      <c r="C4" s="48"/>
      <c r="D4" s="44"/>
      <c r="E4" s="360"/>
      <c r="F4" s="48"/>
      <c r="G4" s="48"/>
      <c r="H4" s="274"/>
      <c r="I4" s="48"/>
      <c r="J4" s="48"/>
      <c r="K4" s="48"/>
      <c r="L4" s="48"/>
      <c r="M4" s="48"/>
      <c r="N4" s="275"/>
    </row>
    <row r="5" spans="1:14" x14ac:dyDescent="0.2">
      <c r="B5" s="273"/>
      <c r="C5" s="48"/>
      <c r="D5" s="44"/>
      <c r="E5" s="48"/>
      <c r="F5" s="48"/>
      <c r="G5" s="48"/>
      <c r="H5" s="274"/>
      <c r="I5" s="48"/>
      <c r="J5" s="48"/>
      <c r="K5" s="48"/>
      <c r="L5" s="48"/>
      <c r="M5" s="48"/>
      <c r="N5" s="275"/>
    </row>
    <row r="6" spans="1:14" x14ac:dyDescent="0.2">
      <c r="B6" s="273"/>
      <c r="C6" s="48"/>
      <c r="D6" s="44"/>
      <c r="E6" s="48"/>
      <c r="F6" s="48"/>
      <c r="G6" s="48"/>
      <c r="H6" s="274"/>
      <c r="I6" s="48"/>
      <c r="J6" s="48"/>
      <c r="K6" s="48"/>
      <c r="L6" s="48"/>
      <c r="M6" s="48"/>
      <c r="N6" s="275"/>
    </row>
    <row r="7" spans="1:14" x14ac:dyDescent="0.2">
      <c r="B7" s="273"/>
      <c r="C7" s="48"/>
      <c r="D7" s="44"/>
      <c r="E7" s="48"/>
      <c r="F7" s="48"/>
      <c r="G7" s="48"/>
      <c r="H7" s="274"/>
      <c r="I7" s="48"/>
      <c r="J7" s="48"/>
      <c r="K7" s="48"/>
      <c r="L7" s="48"/>
      <c r="M7" s="48"/>
      <c r="N7" s="275"/>
    </row>
    <row r="8" spans="1:14" ht="30" customHeight="1" x14ac:dyDescent="0.2">
      <c r="B8" s="276"/>
      <c r="C8" s="207"/>
      <c r="D8" s="277"/>
      <c r="E8" s="278"/>
      <c r="F8" s="372" t="s">
        <v>490</v>
      </c>
      <c r="G8" s="372"/>
      <c r="H8" s="372"/>
      <c r="I8" s="372"/>
      <c r="J8" s="372"/>
      <c r="K8" s="372"/>
      <c r="L8" s="372"/>
      <c r="M8" s="279"/>
      <c r="N8" s="280"/>
    </row>
    <row r="9" spans="1:14" s="288" customFormat="1" ht="38.25" x14ac:dyDescent="0.2">
      <c r="A9" s="5"/>
      <c r="B9" s="281" t="s">
        <v>279</v>
      </c>
      <c r="C9" s="282" t="s">
        <v>339</v>
      </c>
      <c r="D9" s="283" t="s">
        <v>14</v>
      </c>
      <c r="E9" s="283" t="s">
        <v>274</v>
      </c>
      <c r="F9" s="283" t="s">
        <v>430</v>
      </c>
      <c r="G9" s="283" t="s">
        <v>278</v>
      </c>
      <c r="H9" s="284" t="s">
        <v>275</v>
      </c>
      <c r="I9" s="283" t="s">
        <v>291</v>
      </c>
      <c r="J9" s="283" t="s">
        <v>292</v>
      </c>
      <c r="K9" s="285" t="s">
        <v>354</v>
      </c>
      <c r="L9" s="285" t="s">
        <v>276</v>
      </c>
      <c r="M9" s="286" t="s">
        <v>273</v>
      </c>
      <c r="N9" s="287" t="s">
        <v>283</v>
      </c>
    </row>
    <row r="10" spans="1:14" s="29" customFormat="1" ht="30" customHeight="1" x14ac:dyDescent="0.2">
      <c r="A10" s="5"/>
      <c r="B10" s="289">
        <v>1</v>
      </c>
      <c r="C10" s="290"/>
      <c r="D10" s="291" t="s">
        <v>355</v>
      </c>
      <c r="E10" s="291" t="s">
        <v>356</v>
      </c>
      <c r="F10" s="79">
        <v>15</v>
      </c>
      <c r="G10" s="292">
        <v>621.73299999999995</v>
      </c>
      <c r="H10" s="293">
        <f>ROUND(F10*G10,2)</f>
        <v>9326</v>
      </c>
      <c r="I10" s="294">
        <v>0</v>
      </c>
      <c r="J10" s="294">
        <f t="shared" ref="J10:J19" si="0">IF(G10&lt;=248.93,0,(IFERROR(IF(ROUND((((H10/F10*30.4)-VLOOKUP((H10/F10*30.4),TARIFA,1))*VLOOKUP((H10/F10*30.4),TARIFA,3)+VLOOKUP((H10/F10*30.4),TARIFA,2)-VLOOKUP((H10/F10*30.4),SUBSIDIO,2))/30.4*F10,2)&gt;0,ROUND((((H10/F10*30.4)-VLOOKUP((H10/F10*30.4),TARIFA,1))*VLOOKUP((H10/F10*30.4),TARIFA,3)+VLOOKUP((H10/F10*30.4),TARIFA,2)-VLOOKUP((H10/F10*30.4),SUBSIDIO,2))/30.4*F10,2),0),0)))</f>
        <v>1169.01</v>
      </c>
      <c r="K10" s="295">
        <v>0</v>
      </c>
      <c r="L10" s="296">
        <f>J10+K10</f>
        <v>1169.01</v>
      </c>
      <c r="M10" s="297">
        <f>H10-L10</f>
        <v>8156.99</v>
      </c>
      <c r="N10" s="298"/>
    </row>
    <row r="11" spans="1:14" s="29" customFormat="1" ht="30" customHeight="1" x14ac:dyDescent="0.2">
      <c r="A11" s="5"/>
      <c r="B11" s="289">
        <v>2</v>
      </c>
      <c r="C11" s="290"/>
      <c r="D11" s="250" t="s">
        <v>432</v>
      </c>
      <c r="E11" s="291" t="s">
        <v>356</v>
      </c>
      <c r="F11" s="79">
        <v>15</v>
      </c>
      <c r="G11" s="292">
        <v>621.73299999999995</v>
      </c>
      <c r="H11" s="293">
        <f t="shared" ref="H11:H19" si="1">ROUND(F11*G11,2)</f>
        <v>9326</v>
      </c>
      <c r="I11" s="294">
        <v>0</v>
      </c>
      <c r="J11" s="294">
        <f t="shared" si="0"/>
        <v>1169.01</v>
      </c>
      <c r="K11" s="294">
        <v>0</v>
      </c>
      <c r="L11" s="296">
        <f>J11</f>
        <v>1169.01</v>
      </c>
      <c r="M11" s="297">
        <f>H11-L11</f>
        <v>8156.99</v>
      </c>
      <c r="N11" s="298"/>
    </row>
    <row r="12" spans="1:14" s="29" customFormat="1" ht="30" customHeight="1" x14ac:dyDescent="0.2">
      <c r="A12" s="5"/>
      <c r="B12" s="289">
        <v>3</v>
      </c>
      <c r="C12" s="290"/>
      <c r="D12" s="291" t="s">
        <v>357</v>
      </c>
      <c r="E12" s="291" t="s">
        <v>356</v>
      </c>
      <c r="F12" s="79">
        <v>15</v>
      </c>
      <c r="G12" s="292">
        <v>621.73299999999995</v>
      </c>
      <c r="H12" s="293">
        <f t="shared" ref="H12" si="2">ROUND(F12*G12,2)</f>
        <v>9326</v>
      </c>
      <c r="I12" s="294">
        <v>0</v>
      </c>
      <c r="J12" s="294">
        <f t="shared" ref="J12" si="3">IF(G12&lt;=248.93,0,(IFERROR(IF(ROUND((((H12/F12*30.4)-VLOOKUP((H12/F12*30.4),TARIFA,1))*VLOOKUP((H12/F12*30.4),TARIFA,3)+VLOOKUP((H12/F12*30.4),TARIFA,2)-VLOOKUP((H12/F12*30.4),SUBSIDIO,2))/30.4*F12,2)&gt;0,ROUND((((H12/F12*30.4)-VLOOKUP((H12/F12*30.4),TARIFA,1))*VLOOKUP((H12/F12*30.4),TARIFA,3)+VLOOKUP((H12/F12*30.4),TARIFA,2)-VLOOKUP((H12/F12*30.4),SUBSIDIO,2))/30.4*F12,2),0),0)))</f>
        <v>1169.01</v>
      </c>
      <c r="K12" s="294">
        <v>0</v>
      </c>
      <c r="L12" s="296">
        <f>J12</f>
        <v>1169.01</v>
      </c>
      <c r="M12" s="297">
        <f>H12-L12</f>
        <v>8156.99</v>
      </c>
      <c r="N12" s="298"/>
    </row>
    <row r="13" spans="1:14" s="29" customFormat="1" ht="30" customHeight="1" x14ac:dyDescent="0.2">
      <c r="A13" s="5"/>
      <c r="B13" s="289">
        <v>4</v>
      </c>
      <c r="C13" s="290"/>
      <c r="D13" s="291" t="s">
        <v>358</v>
      </c>
      <c r="E13" s="291" t="s">
        <v>356</v>
      </c>
      <c r="F13" s="79">
        <v>15</v>
      </c>
      <c r="G13" s="292">
        <v>621.73299999999995</v>
      </c>
      <c r="H13" s="293">
        <f t="shared" si="1"/>
        <v>9326</v>
      </c>
      <c r="I13" s="294">
        <v>0</v>
      </c>
      <c r="J13" s="294">
        <f t="shared" si="0"/>
        <v>1169.01</v>
      </c>
      <c r="K13" s="294">
        <v>0</v>
      </c>
      <c r="L13" s="296">
        <f t="shared" ref="L13:L19" si="4">J13</f>
        <v>1169.01</v>
      </c>
      <c r="M13" s="297">
        <f t="shared" ref="M13:M19" si="5">H13-L13</f>
        <v>8156.99</v>
      </c>
      <c r="N13" s="298"/>
    </row>
    <row r="14" spans="1:14" s="29" customFormat="1" ht="30" customHeight="1" x14ac:dyDescent="0.2">
      <c r="A14" s="5"/>
      <c r="B14" s="289">
        <v>5</v>
      </c>
      <c r="C14" s="290"/>
      <c r="D14" s="291" t="s">
        <v>359</v>
      </c>
      <c r="E14" s="291" t="s">
        <v>356</v>
      </c>
      <c r="F14" s="79">
        <v>15</v>
      </c>
      <c r="G14" s="292">
        <v>621.73299999999995</v>
      </c>
      <c r="H14" s="293">
        <f t="shared" si="1"/>
        <v>9326</v>
      </c>
      <c r="I14" s="294">
        <v>0</v>
      </c>
      <c r="J14" s="294">
        <f t="shared" si="0"/>
        <v>1169.01</v>
      </c>
      <c r="K14" s="294">
        <v>0</v>
      </c>
      <c r="L14" s="296">
        <f t="shared" si="4"/>
        <v>1169.01</v>
      </c>
      <c r="M14" s="297">
        <f t="shared" si="5"/>
        <v>8156.99</v>
      </c>
      <c r="N14" s="298"/>
    </row>
    <row r="15" spans="1:14" s="29" customFormat="1" ht="30" customHeight="1" x14ac:dyDescent="0.2">
      <c r="A15" s="5"/>
      <c r="B15" s="289">
        <v>6</v>
      </c>
      <c r="C15" s="290"/>
      <c r="D15" s="291" t="s">
        <v>360</v>
      </c>
      <c r="E15" s="291" t="s">
        <v>356</v>
      </c>
      <c r="F15" s="79">
        <v>15</v>
      </c>
      <c r="G15" s="292">
        <v>621.73299999999995</v>
      </c>
      <c r="H15" s="293">
        <f t="shared" si="1"/>
        <v>9326</v>
      </c>
      <c r="I15" s="294">
        <v>0</v>
      </c>
      <c r="J15" s="294">
        <f t="shared" si="0"/>
        <v>1169.01</v>
      </c>
      <c r="K15" s="294">
        <v>0</v>
      </c>
      <c r="L15" s="296">
        <f t="shared" si="4"/>
        <v>1169.01</v>
      </c>
      <c r="M15" s="297">
        <f t="shared" si="5"/>
        <v>8156.99</v>
      </c>
      <c r="N15" s="298"/>
    </row>
    <row r="16" spans="1:14" s="29" customFormat="1" ht="30" customHeight="1" x14ac:dyDescent="0.2">
      <c r="A16" s="5"/>
      <c r="B16" s="289">
        <v>7</v>
      </c>
      <c r="C16" s="290"/>
      <c r="D16" s="291" t="s">
        <v>361</v>
      </c>
      <c r="E16" s="291" t="s">
        <v>356</v>
      </c>
      <c r="F16" s="79">
        <v>15</v>
      </c>
      <c r="G16" s="292">
        <v>621.73299999999995</v>
      </c>
      <c r="H16" s="293">
        <f t="shared" si="1"/>
        <v>9326</v>
      </c>
      <c r="I16" s="294">
        <v>0</v>
      </c>
      <c r="J16" s="294">
        <f t="shared" si="0"/>
        <v>1169.01</v>
      </c>
      <c r="K16" s="294">
        <v>0</v>
      </c>
      <c r="L16" s="296">
        <f t="shared" si="4"/>
        <v>1169.01</v>
      </c>
      <c r="M16" s="297">
        <f t="shared" si="5"/>
        <v>8156.99</v>
      </c>
      <c r="N16" s="298"/>
    </row>
    <row r="17" spans="1:14" s="29" customFormat="1" ht="30" customHeight="1" x14ac:dyDescent="0.2">
      <c r="A17" s="5"/>
      <c r="B17" s="289">
        <v>8</v>
      </c>
      <c r="C17" s="290"/>
      <c r="D17" s="291" t="s">
        <v>362</v>
      </c>
      <c r="E17" s="291" t="s">
        <v>356</v>
      </c>
      <c r="F17" s="79">
        <v>15</v>
      </c>
      <c r="G17" s="292">
        <v>621.73299999999995</v>
      </c>
      <c r="H17" s="293">
        <f t="shared" si="1"/>
        <v>9326</v>
      </c>
      <c r="I17" s="294">
        <v>0</v>
      </c>
      <c r="J17" s="294">
        <f t="shared" si="0"/>
        <v>1169.01</v>
      </c>
      <c r="K17" s="294">
        <v>0</v>
      </c>
      <c r="L17" s="296">
        <f t="shared" si="4"/>
        <v>1169.01</v>
      </c>
      <c r="M17" s="297">
        <f t="shared" si="5"/>
        <v>8156.99</v>
      </c>
      <c r="N17" s="298"/>
    </row>
    <row r="18" spans="1:14" s="29" customFormat="1" ht="30" customHeight="1" x14ac:dyDescent="0.2">
      <c r="A18" s="5"/>
      <c r="B18" s="289">
        <v>9</v>
      </c>
      <c r="C18" s="290" t="s">
        <v>339</v>
      </c>
      <c r="D18" s="291" t="s">
        <v>363</v>
      </c>
      <c r="E18" s="291" t="s">
        <v>356</v>
      </c>
      <c r="F18" s="79">
        <v>15</v>
      </c>
      <c r="G18" s="292">
        <v>621.73299999999995</v>
      </c>
      <c r="H18" s="293">
        <f t="shared" si="1"/>
        <v>9326</v>
      </c>
      <c r="I18" s="294">
        <v>0</v>
      </c>
      <c r="J18" s="294">
        <f t="shared" si="0"/>
        <v>1169.01</v>
      </c>
      <c r="K18" s="294">
        <v>0</v>
      </c>
      <c r="L18" s="296">
        <f t="shared" si="4"/>
        <v>1169.01</v>
      </c>
      <c r="M18" s="297">
        <f t="shared" si="5"/>
        <v>8156.99</v>
      </c>
      <c r="N18" s="298"/>
    </row>
    <row r="19" spans="1:14" s="29" customFormat="1" ht="30" customHeight="1" x14ac:dyDescent="0.2">
      <c r="A19" s="5"/>
      <c r="B19" s="289">
        <v>10</v>
      </c>
      <c r="C19" s="290"/>
      <c r="D19" s="291" t="s">
        <v>364</v>
      </c>
      <c r="E19" s="291" t="s">
        <v>365</v>
      </c>
      <c r="F19" s="79">
        <v>15</v>
      </c>
      <c r="G19" s="292">
        <v>621.73299999999995</v>
      </c>
      <c r="H19" s="293">
        <f t="shared" si="1"/>
        <v>9326</v>
      </c>
      <c r="I19" s="294">
        <v>0</v>
      </c>
      <c r="J19" s="294">
        <f t="shared" si="0"/>
        <v>1169.01</v>
      </c>
      <c r="K19" s="294">
        <v>0</v>
      </c>
      <c r="L19" s="296">
        <f t="shared" si="4"/>
        <v>1169.01</v>
      </c>
      <c r="M19" s="297">
        <f t="shared" si="5"/>
        <v>8156.99</v>
      </c>
      <c r="N19" s="298"/>
    </row>
    <row r="20" spans="1:14" s="288" customFormat="1" x14ac:dyDescent="0.2">
      <c r="A20" s="5"/>
      <c r="B20" s="373" t="s">
        <v>17</v>
      </c>
      <c r="C20" s="374"/>
      <c r="D20" s="374"/>
      <c r="E20" s="374"/>
      <c r="F20" s="374"/>
      <c r="G20" s="267"/>
      <c r="H20" s="299">
        <f>SUM(H10:H19)</f>
        <v>93260</v>
      </c>
      <c r="I20" s="294">
        <v>0</v>
      </c>
      <c r="J20" s="299">
        <f>SUM(J10:J19)</f>
        <v>11690.1</v>
      </c>
      <c r="K20" s="299">
        <f>SUM(K10:K19)</f>
        <v>0</v>
      </c>
      <c r="L20" s="299">
        <f>SUM(L10:L19)</f>
        <v>11690.1</v>
      </c>
      <c r="M20" s="299">
        <f>SUM(M10:M19)</f>
        <v>81569.899999999994</v>
      </c>
      <c r="N20" s="300">
        <f t="shared" ref="N20" si="6">SUM(N10:N19)</f>
        <v>0</v>
      </c>
    </row>
    <row r="21" spans="1:14" x14ac:dyDescent="0.2">
      <c r="B21" s="301"/>
      <c r="C21" s="44"/>
      <c r="D21" s="44"/>
      <c r="E21" s="44"/>
      <c r="F21" s="44"/>
      <c r="G21" s="44"/>
      <c r="H21" s="302"/>
      <c r="I21" s="44"/>
      <c r="J21" s="44"/>
      <c r="K21" s="44"/>
      <c r="L21" s="44"/>
      <c r="M21" s="44"/>
      <c r="N21" s="303"/>
    </row>
    <row r="22" spans="1:14" x14ac:dyDescent="0.2">
      <c r="B22" s="301"/>
      <c r="C22" s="44"/>
      <c r="D22" s="44"/>
      <c r="E22" s="44"/>
      <c r="F22" s="44"/>
      <c r="G22" s="44"/>
      <c r="H22" s="302"/>
      <c r="I22" s="44"/>
      <c r="J22" s="44"/>
      <c r="K22" s="44"/>
      <c r="L22" s="44"/>
      <c r="M22" s="44"/>
      <c r="N22" s="303"/>
    </row>
    <row r="23" spans="1:14" x14ac:dyDescent="0.2">
      <c r="B23" s="301"/>
      <c r="C23" s="44"/>
      <c r="D23" s="44"/>
      <c r="E23" s="44"/>
      <c r="F23" s="44"/>
      <c r="G23" s="44"/>
      <c r="H23" s="302"/>
      <c r="I23" s="44"/>
      <c r="J23" s="44"/>
      <c r="K23" s="44"/>
      <c r="L23" s="44"/>
      <c r="M23" s="44"/>
      <c r="N23" s="303"/>
    </row>
    <row r="24" spans="1:14" x14ac:dyDescent="0.2">
      <c r="B24" s="301"/>
      <c r="C24" s="44"/>
      <c r="D24" s="44"/>
      <c r="E24" s="44"/>
      <c r="F24" s="44"/>
      <c r="G24" s="44"/>
      <c r="H24" s="302"/>
      <c r="I24" s="44"/>
      <c r="J24" s="44"/>
      <c r="K24" s="44"/>
      <c r="L24" s="44"/>
      <c r="M24" s="44"/>
      <c r="N24" s="303"/>
    </row>
    <row r="25" spans="1:14" x14ac:dyDescent="0.2">
      <c r="B25" s="301"/>
      <c r="C25" s="44"/>
      <c r="D25" s="44"/>
      <c r="E25" s="44"/>
      <c r="F25" s="44"/>
      <c r="G25" s="44"/>
      <c r="H25" s="302"/>
      <c r="I25" s="44"/>
      <c r="J25" s="44"/>
      <c r="K25" s="44"/>
      <c r="L25" s="44"/>
      <c r="M25" s="44"/>
      <c r="N25" s="304"/>
    </row>
    <row r="26" spans="1:14" ht="13.5" x14ac:dyDescent="0.2">
      <c r="B26" s="89"/>
      <c r="D26" s="377" t="s">
        <v>482</v>
      </c>
      <c r="E26" s="377"/>
      <c r="L26" s="88" t="s">
        <v>281</v>
      </c>
      <c r="M26" s="88"/>
      <c r="N26" s="87"/>
    </row>
    <row r="27" spans="1:14" ht="12.75" customHeight="1" x14ac:dyDescent="0.2">
      <c r="B27" s="89"/>
      <c r="D27" s="375" t="s">
        <v>280</v>
      </c>
      <c r="E27" s="375"/>
      <c r="L27" s="375" t="s">
        <v>282</v>
      </c>
      <c r="M27" s="375"/>
      <c r="N27" s="376"/>
    </row>
    <row r="28" spans="1:14" ht="13.5" thickBot="1" x14ac:dyDescent="0.25">
      <c r="B28" s="90"/>
      <c r="C28" s="91"/>
      <c r="D28" s="305"/>
      <c r="E28" s="91"/>
      <c r="F28" s="91"/>
      <c r="G28" s="91"/>
      <c r="H28" s="92"/>
      <c r="I28" s="91"/>
      <c r="J28" s="91"/>
      <c r="K28" s="91"/>
      <c r="L28" s="91"/>
      <c r="M28" s="91"/>
      <c r="N28" s="306"/>
    </row>
    <row r="31" spans="1:14" x14ac:dyDescent="0.2">
      <c r="L31" s="5" t="s">
        <v>90</v>
      </c>
      <c r="M31" s="308">
        <f>M18</f>
        <v>8156.99</v>
      </c>
    </row>
    <row r="32" spans="1:14" x14ac:dyDescent="0.2">
      <c r="L32" s="5" t="s">
        <v>91</v>
      </c>
      <c r="M32" s="308">
        <f>M13+M14+M15+M16+M17+M19+M10+M12+M11</f>
        <v>73412.909999999989</v>
      </c>
    </row>
    <row r="34" spans="4:13" x14ac:dyDescent="0.2">
      <c r="L34" s="5" t="s">
        <v>289</v>
      </c>
      <c r="M34" s="308">
        <f>M32+M31</f>
        <v>81569.899999999994</v>
      </c>
    </row>
    <row r="36" spans="4:13" x14ac:dyDescent="0.2">
      <c r="L36" s="5" t="s">
        <v>290</v>
      </c>
      <c r="M36" s="32">
        <f>M34-M20</f>
        <v>0</v>
      </c>
    </row>
    <row r="40" spans="4:13" x14ac:dyDescent="0.2">
      <c r="D40" s="307" t="s">
        <v>366</v>
      </c>
      <c r="E40" s="309">
        <f>M34+BASE!L108+EVENTUALES!K158+PENSIONADOS!AI25+'Apoyos '!G22+'Apoyos '!G54</f>
        <v>595430.26</v>
      </c>
      <c r="J40" s="5" t="s">
        <v>367</v>
      </c>
      <c r="M40" s="309">
        <f>M31+BASE!L105+EVENTUALES!K155+PENSIONADOS!AI25+'Apoyos '!G22+'Apoyos '!G54+'SEG. PUBLICA'!L48+PROT.CIVIL!L41</f>
        <v>401522.78</v>
      </c>
    </row>
    <row r="42" spans="4:13" x14ac:dyDescent="0.2">
      <c r="D42" s="307" t="s">
        <v>368</v>
      </c>
      <c r="E42" s="309">
        <f>'SEG. PUBLICA'!L51+PROT.CIVIL!L44</f>
        <v>256954.01</v>
      </c>
      <c r="J42" s="5" t="s">
        <v>369</v>
      </c>
      <c r="M42" s="309">
        <f>M32+BASE!L106+EVENTUALES!K156+'SEG. PUBLICA'!L50+PROT.CIVIL!L43</f>
        <v>416905.94</v>
      </c>
    </row>
    <row r="44" spans="4:13" x14ac:dyDescent="0.2">
      <c r="D44" s="307" t="s">
        <v>127</v>
      </c>
      <c r="E44" s="309">
        <f>E40+E42</f>
        <v>852384.27</v>
      </c>
      <c r="J44" s="5" t="s">
        <v>127</v>
      </c>
      <c r="M44" s="309">
        <f>SUM(M40:M43)</f>
        <v>818428.72</v>
      </c>
    </row>
    <row r="46" spans="4:13" x14ac:dyDescent="0.2">
      <c r="J46" s="5" t="s">
        <v>483</v>
      </c>
      <c r="M46" s="309">
        <f>E44-M44</f>
        <v>33955.550000000047</v>
      </c>
    </row>
  </sheetData>
  <mergeCells count="6">
    <mergeCell ref="E2:N2"/>
    <mergeCell ref="F8:L8"/>
    <mergeCell ref="B20:F20"/>
    <mergeCell ref="D27:E27"/>
    <mergeCell ref="L27:N27"/>
    <mergeCell ref="D26:E26"/>
  </mergeCells>
  <pageMargins left="0.25" right="0.25" top="0.75" bottom="0.75" header="0.3" footer="0.3"/>
  <pageSetup scale="81" fitToWidth="0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R109"/>
  <sheetViews>
    <sheetView showGridLines="0" topLeftCell="A93" zoomScale="90" zoomScaleNormal="90" workbookViewId="0">
      <selection activeCell="F93" sqref="F1:F1048576"/>
    </sheetView>
  </sheetViews>
  <sheetFormatPr baseColWidth="10" defaultColWidth="11.42578125" defaultRowHeight="17.25" x14ac:dyDescent="0.2"/>
  <cols>
    <col min="1" max="1" width="2.5703125" style="28" customWidth="1"/>
    <col min="2" max="3" width="3.5703125" style="4" customWidth="1"/>
    <col min="4" max="4" width="32.5703125" style="67" customWidth="1"/>
    <col min="5" max="5" width="21.7109375" style="35" customWidth="1"/>
    <col min="6" max="6" width="4.85546875" style="25" customWidth="1"/>
    <col min="7" max="7" width="8.5703125" style="25" customWidth="1"/>
    <col min="8" max="8" width="10.7109375" style="25" customWidth="1"/>
    <col min="9" max="9" width="8.140625" style="25" customWidth="1"/>
    <col min="10" max="10" width="9.42578125" style="25" customWidth="1"/>
    <col min="11" max="11" width="9.7109375" style="25" customWidth="1"/>
    <col min="12" max="12" width="10.85546875" style="25" customWidth="1"/>
    <col min="13" max="13" width="26.7109375" style="4" customWidth="1"/>
    <col min="14" max="16384" width="11.42578125" style="28"/>
  </cols>
  <sheetData>
    <row r="1" spans="1:13" ht="14.25" x14ac:dyDescent="0.2">
      <c r="B1" s="266" t="s">
        <v>28</v>
      </c>
      <c r="C1" s="202"/>
      <c r="D1" s="127"/>
      <c r="E1" s="128"/>
      <c r="F1" s="129"/>
      <c r="G1" s="129"/>
      <c r="H1" s="129"/>
      <c r="I1" s="129"/>
      <c r="J1" s="129"/>
      <c r="K1" s="129"/>
      <c r="L1" s="129"/>
      <c r="M1" s="130"/>
    </row>
    <row r="2" spans="1:13" ht="20.25" x14ac:dyDescent="0.2">
      <c r="B2" s="131"/>
      <c r="C2" s="203"/>
      <c r="D2" s="75"/>
      <c r="E2" s="378" t="s">
        <v>286</v>
      </c>
      <c r="F2" s="378"/>
      <c r="G2" s="378"/>
      <c r="H2" s="378"/>
      <c r="I2" s="378"/>
      <c r="J2" s="378"/>
      <c r="K2" s="132"/>
      <c r="L2" s="132"/>
      <c r="M2" s="133"/>
    </row>
    <row r="3" spans="1:13" ht="14.25" x14ac:dyDescent="0.2">
      <c r="B3" s="131"/>
      <c r="C3" s="203"/>
      <c r="D3" s="75"/>
      <c r="E3" s="134"/>
      <c r="F3" s="132"/>
      <c r="G3" s="132"/>
      <c r="H3" s="132"/>
      <c r="I3" s="132"/>
      <c r="J3" s="132"/>
      <c r="K3" s="132"/>
      <c r="L3" s="132"/>
      <c r="M3" s="133"/>
    </row>
    <row r="4" spans="1:13" ht="14.25" x14ac:dyDescent="0.2">
      <c r="B4" s="131"/>
      <c r="C4" s="203"/>
      <c r="D4" s="75"/>
      <c r="E4" s="134"/>
      <c r="F4" s="132"/>
      <c r="G4" s="132"/>
      <c r="H4" s="132"/>
      <c r="I4" s="132"/>
      <c r="J4" s="132"/>
      <c r="K4" s="132"/>
      <c r="L4" s="132"/>
      <c r="M4" s="133"/>
    </row>
    <row r="5" spans="1:13" ht="18" customHeight="1" x14ac:dyDescent="0.2">
      <c r="B5" s="135"/>
      <c r="C5" s="39"/>
      <c r="D5" s="75"/>
      <c r="E5" s="379" t="s">
        <v>287</v>
      </c>
      <c r="F5" s="379"/>
      <c r="G5" s="379"/>
      <c r="H5" s="379"/>
      <c r="I5" s="379"/>
      <c r="J5" s="379"/>
      <c r="K5" s="380"/>
      <c r="L5" s="380"/>
      <c r="M5" s="381"/>
    </row>
    <row r="6" spans="1:13" ht="18" customHeight="1" x14ac:dyDescent="0.2">
      <c r="B6" s="135"/>
      <c r="C6" s="39"/>
      <c r="D6" s="75"/>
      <c r="E6" s="139"/>
      <c r="F6" s="139"/>
      <c r="G6" s="139"/>
      <c r="H6" s="139"/>
      <c r="I6" s="147"/>
      <c r="J6" s="147"/>
      <c r="K6" s="140"/>
      <c r="L6" s="140"/>
      <c r="M6" s="141"/>
    </row>
    <row r="7" spans="1:13" ht="18" customHeight="1" thickBot="1" x14ac:dyDescent="0.25">
      <c r="B7" s="135"/>
      <c r="C7" s="39"/>
      <c r="D7" s="382" t="s">
        <v>484</v>
      </c>
      <c r="E7" s="382"/>
      <c r="F7" s="382"/>
      <c r="G7" s="382"/>
      <c r="H7" s="382"/>
      <c r="I7" s="382"/>
      <c r="J7" s="147"/>
      <c r="K7" s="140"/>
      <c r="L7" s="140"/>
      <c r="M7" s="141"/>
    </row>
    <row r="8" spans="1:13" s="27" customFormat="1" ht="36" x14ac:dyDescent="0.2">
      <c r="A8" s="28"/>
      <c r="B8" s="101" t="s">
        <v>279</v>
      </c>
      <c r="C8" s="204" t="s">
        <v>339</v>
      </c>
      <c r="D8" s="102" t="s">
        <v>14</v>
      </c>
      <c r="E8" s="102" t="s">
        <v>274</v>
      </c>
      <c r="F8" s="102" t="s">
        <v>277</v>
      </c>
      <c r="G8" s="102" t="s">
        <v>278</v>
      </c>
      <c r="H8" s="103" t="s">
        <v>275</v>
      </c>
      <c r="I8" s="102" t="s">
        <v>291</v>
      </c>
      <c r="J8" s="102" t="s">
        <v>292</v>
      </c>
      <c r="K8" s="104" t="s">
        <v>276</v>
      </c>
      <c r="L8" s="105" t="s">
        <v>273</v>
      </c>
      <c r="M8" s="106" t="s">
        <v>283</v>
      </c>
    </row>
    <row r="9" spans="1:13" s="29" customFormat="1" ht="30" customHeight="1" x14ac:dyDescent="0.2">
      <c r="A9" s="5"/>
      <c r="B9" s="107">
        <v>1</v>
      </c>
      <c r="C9" s="205"/>
      <c r="D9" s="93" t="s">
        <v>477</v>
      </c>
      <c r="E9" s="93" t="s">
        <v>87</v>
      </c>
      <c r="F9" s="64">
        <v>15</v>
      </c>
      <c r="G9" s="94">
        <v>1484.2</v>
      </c>
      <c r="H9" s="95">
        <f t="shared" ref="H9" si="0">ROUND(F9*G9,2)</f>
        <v>22263</v>
      </c>
      <c r="I9" s="150">
        <v>0</v>
      </c>
      <c r="J9" s="148">
        <f t="shared" ref="J9" si="1">IF(G9&lt;=248.93,0,(IFERROR(IF(ROUND((((H9/F9*30.4)-VLOOKUP((H9/F9*30.4),TARIFA,1))*VLOOKUP((H9/F9*30.4),TARIFA,3)+VLOOKUP((H9/F9*30.4),TARIFA,2)-VLOOKUP((H9/F9*30.4),SUBSIDIO,2))/30.4*F9,2)&gt;0,ROUND((((H9/F9*30.4)-VLOOKUP((H9/F9*30.4),TARIFA,1))*VLOOKUP((H9/F9*30.4),TARIFA,3)+VLOOKUP((H9/F9*30.4),TARIFA,2)-VLOOKUP((H9/F9*30.4),SUBSIDIO,2))/30.4*F9,2),0),0)))</f>
        <v>4080.32</v>
      </c>
      <c r="K9" s="96">
        <f t="shared" ref="K9" si="2">J9</f>
        <v>4080.32</v>
      </c>
      <c r="L9" s="96">
        <f t="shared" ref="L9" si="3">H9+I9-K9</f>
        <v>18182.68</v>
      </c>
      <c r="M9" s="108"/>
    </row>
    <row r="10" spans="1:13" s="29" customFormat="1" ht="30" customHeight="1" x14ac:dyDescent="0.2">
      <c r="A10" s="5"/>
      <c r="B10" s="107">
        <v>2</v>
      </c>
      <c r="C10" s="205" t="s">
        <v>339</v>
      </c>
      <c r="D10" s="93" t="s">
        <v>472</v>
      </c>
      <c r="E10" s="93" t="s">
        <v>105</v>
      </c>
      <c r="F10" s="64">
        <v>15</v>
      </c>
      <c r="G10" s="94">
        <v>335.33300000000003</v>
      </c>
      <c r="H10" s="95">
        <f t="shared" ref="H10:H13" si="4">ROUND(F10*G10,2)</f>
        <v>5030</v>
      </c>
      <c r="I10" s="150">
        <v>0</v>
      </c>
      <c r="J10" s="148">
        <f t="shared" ref="J10:J13" si="5">IF(G10&lt;=248.93,0,(IFERROR(IF(ROUND((((H10/F10*30.4)-VLOOKUP((H10/F10*30.4),TARIFA,1))*VLOOKUP((H10/F10*30.4),TARIFA,3)+VLOOKUP((H10/F10*30.4),TARIFA,2)-VLOOKUP((H10/F10*30.4),SUBSIDIO,2))/30.4*F10,2)&gt;0,ROUND((((H10/F10*30.4)-VLOOKUP((H10/F10*30.4),TARIFA,1))*VLOOKUP((H10/F10*30.4),TARIFA,3)+VLOOKUP((H10/F10*30.4),TARIFA,2)-VLOOKUP((H10/F10*30.4),SUBSIDIO,2))/30.4*F10,2),0),0)))</f>
        <v>390.8</v>
      </c>
      <c r="K10" s="96">
        <f t="shared" ref="K10:K12" si="6">J10</f>
        <v>390.8</v>
      </c>
      <c r="L10" s="96">
        <f t="shared" ref="L10:L12" si="7">H10+I10-K10</f>
        <v>4639.2</v>
      </c>
      <c r="M10" s="108"/>
    </row>
    <row r="11" spans="1:13" s="5" customFormat="1" ht="30" customHeight="1" x14ac:dyDescent="0.2">
      <c r="B11" s="107">
        <v>3</v>
      </c>
      <c r="C11" s="205"/>
      <c r="D11" s="93" t="s">
        <v>133</v>
      </c>
      <c r="E11" s="93" t="s">
        <v>121</v>
      </c>
      <c r="F11" s="64">
        <v>15</v>
      </c>
      <c r="G11" s="94">
        <v>582.4</v>
      </c>
      <c r="H11" s="95">
        <f t="shared" si="4"/>
        <v>8736</v>
      </c>
      <c r="I11" s="150">
        <v>0</v>
      </c>
      <c r="J11" s="148">
        <f t="shared" si="5"/>
        <v>1042.98</v>
      </c>
      <c r="K11" s="96">
        <f t="shared" si="6"/>
        <v>1042.98</v>
      </c>
      <c r="L11" s="96">
        <f t="shared" si="7"/>
        <v>7693.02</v>
      </c>
      <c r="M11" s="108"/>
    </row>
    <row r="12" spans="1:13" s="27" customFormat="1" ht="30" customHeight="1" x14ac:dyDescent="0.2">
      <c r="A12" s="28"/>
      <c r="B12" s="107">
        <v>4</v>
      </c>
      <c r="C12" s="205"/>
      <c r="D12" s="93" t="s">
        <v>159</v>
      </c>
      <c r="E12" s="93" t="s">
        <v>81</v>
      </c>
      <c r="F12" s="64">
        <v>15</v>
      </c>
      <c r="G12" s="94">
        <v>186.26650000000001</v>
      </c>
      <c r="H12" s="95">
        <f t="shared" si="4"/>
        <v>2794</v>
      </c>
      <c r="I12" s="150">
        <v>0</v>
      </c>
      <c r="J12" s="148">
        <f t="shared" si="5"/>
        <v>0</v>
      </c>
      <c r="K12" s="144">
        <f t="shared" si="6"/>
        <v>0</v>
      </c>
      <c r="L12" s="96">
        <f t="shared" si="7"/>
        <v>2794</v>
      </c>
      <c r="M12" s="108"/>
    </row>
    <row r="13" spans="1:13" s="29" customFormat="1" ht="30" customHeight="1" x14ac:dyDescent="0.2">
      <c r="A13" s="5"/>
      <c r="B13" s="107">
        <v>5</v>
      </c>
      <c r="C13" s="205"/>
      <c r="D13" s="93" t="s">
        <v>160</v>
      </c>
      <c r="E13" s="93" t="s">
        <v>86</v>
      </c>
      <c r="F13" s="64">
        <v>15</v>
      </c>
      <c r="G13" s="94">
        <v>314.60000000000002</v>
      </c>
      <c r="H13" s="95">
        <f t="shared" si="4"/>
        <v>4719</v>
      </c>
      <c r="I13" s="150">
        <v>0</v>
      </c>
      <c r="J13" s="148">
        <f t="shared" si="5"/>
        <v>356.96</v>
      </c>
      <c r="K13" s="96">
        <f>J13</f>
        <v>356.96</v>
      </c>
      <c r="L13" s="96">
        <f>H13+I13-K13</f>
        <v>4362.04</v>
      </c>
      <c r="M13" s="108"/>
    </row>
    <row r="14" spans="1:13" s="30" customFormat="1" ht="30" customHeight="1" x14ac:dyDescent="0.2">
      <c r="A14" s="26"/>
      <c r="B14" s="109"/>
      <c r="C14" s="206"/>
      <c r="D14" s="73"/>
      <c r="E14" s="66" t="s">
        <v>113</v>
      </c>
      <c r="F14" s="198"/>
      <c r="G14" s="65"/>
      <c r="H14" s="98">
        <f>SUM(H9:H13)</f>
        <v>43542</v>
      </c>
      <c r="I14" s="359">
        <f>SUM(I9:I13)</f>
        <v>0</v>
      </c>
      <c r="J14" s="98">
        <f>SUM(J9:J13)</f>
        <v>5871.06</v>
      </c>
      <c r="K14" s="98">
        <f>SUM(K9:K13)</f>
        <v>5871.06</v>
      </c>
      <c r="L14" s="98">
        <f>SUM(L9:L13)</f>
        <v>37670.94</v>
      </c>
      <c r="M14" s="110"/>
    </row>
    <row r="15" spans="1:13" s="27" customFormat="1" ht="30" customHeight="1" x14ac:dyDescent="0.2">
      <c r="A15" s="28"/>
      <c r="B15" s="383" t="s">
        <v>34</v>
      </c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5"/>
    </row>
    <row r="16" spans="1:13" s="29" customFormat="1" ht="30" customHeight="1" x14ac:dyDescent="0.2">
      <c r="A16" s="5"/>
      <c r="B16" s="107">
        <v>6</v>
      </c>
      <c r="C16" s="205"/>
      <c r="D16" s="99" t="s">
        <v>144</v>
      </c>
      <c r="E16" s="93" t="s">
        <v>77</v>
      </c>
      <c r="F16" s="64">
        <v>15</v>
      </c>
      <c r="G16" s="94">
        <v>844.13300000000004</v>
      </c>
      <c r="H16" s="95">
        <f>ROUND(F16*G16,2)</f>
        <v>12662</v>
      </c>
      <c r="I16" s="148">
        <v>0</v>
      </c>
      <c r="J16" s="148">
        <f>IF(G16&lt;=248.93,0,(IFERROR(IF(ROUND((((H16/F16*30.4)-VLOOKUP((H16/F16*30.4),TARIFA,1))*VLOOKUP((H16/F16*30.4),TARIFA,3)+VLOOKUP((H16/F16*30.4),TARIFA,2)-VLOOKUP((H16/F16*30.4),SUBSIDIO,2))/30.4*F16,2)&gt;0,ROUND((((H16/F16*30.4)-VLOOKUP((H16/F16*30.4),TARIFA,1))*VLOOKUP((H16/F16*30.4),TARIFA,3)+VLOOKUP((H16/F16*30.4),TARIFA,2)-VLOOKUP((H16/F16*30.4),SUBSIDIO,2))/30.4*F16,2),0),0)))</f>
        <v>1881.58</v>
      </c>
      <c r="K16" s="96">
        <f>J16</f>
        <v>1881.58</v>
      </c>
      <c r="L16" s="96">
        <f>H16+I16-K16</f>
        <v>10780.42</v>
      </c>
      <c r="M16" s="111"/>
    </row>
    <row r="17" spans="1:96" s="30" customFormat="1" ht="30" customHeight="1" x14ac:dyDescent="0.2">
      <c r="A17" s="26"/>
      <c r="B17" s="109"/>
      <c r="C17" s="206"/>
      <c r="D17" s="73"/>
      <c r="E17" s="66" t="s">
        <v>33</v>
      </c>
      <c r="F17" s="66"/>
      <c r="G17" s="100"/>
      <c r="H17" s="98">
        <f>SUM(H16:H16)</f>
        <v>12662</v>
      </c>
      <c r="I17" s="143">
        <f>SUM(I16:I16)</f>
        <v>0</v>
      </c>
      <c r="J17" s="98">
        <f>SUM(J16:J16)</f>
        <v>1881.58</v>
      </c>
      <c r="K17" s="98">
        <f>SUM(K16:K16)</f>
        <v>1881.58</v>
      </c>
      <c r="L17" s="98">
        <f>SUM(L16:L16)</f>
        <v>10780.42</v>
      </c>
      <c r="M17" s="110"/>
    </row>
    <row r="18" spans="1:96" s="5" customFormat="1" ht="30" customHeight="1" x14ac:dyDescent="0.2">
      <c r="B18" s="383" t="s">
        <v>78</v>
      </c>
      <c r="C18" s="384"/>
      <c r="D18" s="384"/>
      <c r="E18" s="384"/>
      <c r="F18" s="384"/>
      <c r="G18" s="384"/>
      <c r="H18" s="384"/>
      <c r="I18" s="384"/>
      <c r="J18" s="384"/>
      <c r="K18" s="384"/>
      <c r="L18" s="384"/>
      <c r="M18" s="385"/>
    </row>
    <row r="19" spans="1:96" ht="30" customHeight="1" x14ac:dyDescent="0.2">
      <c r="B19" s="107">
        <v>7</v>
      </c>
      <c r="C19" s="205"/>
      <c r="D19" s="99" t="s">
        <v>161</v>
      </c>
      <c r="E19" s="93" t="s">
        <v>35</v>
      </c>
      <c r="F19" s="64">
        <v>15</v>
      </c>
      <c r="G19" s="94">
        <v>416</v>
      </c>
      <c r="H19" s="95">
        <f>ROUND(F19*G19,2)</f>
        <v>6240</v>
      </c>
      <c r="I19" s="148">
        <v>0</v>
      </c>
      <c r="J19" s="148">
        <f>IF(G19&lt;=248.93,0,(IFERROR(IF(ROUND((((H19/F19*30.4)-VLOOKUP((H19/F19*30.4),TARIFA,1))*VLOOKUP((H19/F19*30.4),TARIFA,3)+VLOOKUP((H19/F19*30.4),TARIFA,2)-VLOOKUP((H19/F19*30.4),SUBSIDIO,2))/30.4*F19,2)&gt;0,ROUND((((H19/F19*30.4)-VLOOKUP((H19/F19*30.4),TARIFA,1))*VLOOKUP((H19/F19*30.4),TARIFA,3)+VLOOKUP((H19/F19*30.4),TARIFA,2)-VLOOKUP((H19/F19*30.4),SUBSIDIO,2))/30.4*F19,2),0),0)))</f>
        <v>560.80999999999995</v>
      </c>
      <c r="K19" s="96">
        <f>J19</f>
        <v>560.80999999999995</v>
      </c>
      <c r="L19" s="96">
        <f>H19+I19-K19</f>
        <v>5679.1900000000005</v>
      </c>
      <c r="M19" s="111"/>
    </row>
    <row r="20" spans="1:96" ht="30" customHeight="1" x14ac:dyDescent="0.2">
      <c r="B20" s="107">
        <v>8</v>
      </c>
      <c r="C20" s="205"/>
      <c r="D20" s="99" t="s">
        <v>162</v>
      </c>
      <c r="E20" s="93" t="s">
        <v>42</v>
      </c>
      <c r="F20" s="64">
        <v>15</v>
      </c>
      <c r="G20" s="94">
        <v>285.06650000000002</v>
      </c>
      <c r="H20" s="95">
        <f>ROUND(F20*G20,2)</f>
        <v>4276</v>
      </c>
      <c r="I20" s="148">
        <v>0</v>
      </c>
      <c r="J20" s="148">
        <f>IF(G20&lt;=248.93,0,(IFERROR(IF(ROUND((((H20/F20*30.4)-VLOOKUP((H20/F20*30.4),TARIFA,1))*VLOOKUP((H20/F20*30.4),TARIFA,3)+VLOOKUP((H20/F20*30.4),TARIFA,2)-VLOOKUP((H20/F20*30.4),SUBSIDIO,2))/30.4*F20,2)&gt;0,ROUND((((H20/F20*30.4)-VLOOKUP((H20/F20*30.4),TARIFA,1))*VLOOKUP((H20/F20*30.4),TARIFA,3)+VLOOKUP((H20/F20*30.4),TARIFA,2)-VLOOKUP((H20/F20*30.4),SUBSIDIO,2))/30.4*F20,2),0),0)))</f>
        <v>116.33</v>
      </c>
      <c r="K20" s="96">
        <f>J20</f>
        <v>116.33</v>
      </c>
      <c r="L20" s="96">
        <f>H20+I20-K20</f>
        <v>4159.67</v>
      </c>
      <c r="M20" s="111"/>
    </row>
    <row r="21" spans="1:96" s="5" customFormat="1" ht="30" customHeight="1" x14ac:dyDescent="0.2">
      <c r="B21" s="107"/>
      <c r="C21" s="205"/>
      <c r="D21" s="72"/>
      <c r="E21" s="66" t="s">
        <v>33</v>
      </c>
      <c r="F21" s="198"/>
      <c r="G21" s="100"/>
      <c r="H21" s="98">
        <f>SUM(H19:H20)</f>
        <v>10516</v>
      </c>
      <c r="I21" s="143">
        <f>SUM(I19:I20)</f>
        <v>0</v>
      </c>
      <c r="J21" s="98">
        <f>SUM(J19:J20)</f>
        <v>677.14</v>
      </c>
      <c r="K21" s="98">
        <f>SUM(K19:K20)</f>
        <v>677.14</v>
      </c>
      <c r="L21" s="98">
        <f>SUM(L19:L20)</f>
        <v>9838.86</v>
      </c>
      <c r="M21" s="110"/>
    </row>
    <row r="22" spans="1:96" ht="30" customHeight="1" x14ac:dyDescent="0.2">
      <c r="B22" s="383" t="s">
        <v>36</v>
      </c>
      <c r="C22" s="384"/>
      <c r="D22" s="384"/>
      <c r="E22" s="384"/>
      <c r="F22" s="384"/>
      <c r="G22" s="384"/>
      <c r="H22" s="384"/>
      <c r="I22" s="384"/>
      <c r="J22" s="384"/>
      <c r="K22" s="384"/>
      <c r="L22" s="384"/>
      <c r="M22" s="385"/>
    </row>
    <row r="23" spans="1:96" ht="30" customHeight="1" x14ac:dyDescent="0.2">
      <c r="B23" s="107">
        <v>9</v>
      </c>
      <c r="C23" s="205"/>
      <c r="D23" s="99" t="s">
        <v>163</v>
      </c>
      <c r="E23" s="93" t="s">
        <v>37</v>
      </c>
      <c r="F23" s="64">
        <v>15</v>
      </c>
      <c r="G23" s="94">
        <v>285.06650000000002</v>
      </c>
      <c r="H23" s="95">
        <f t="shared" ref="H23:H26" si="8">ROUND(F23*G23,2)</f>
        <v>4276</v>
      </c>
      <c r="I23" s="148">
        <v>0</v>
      </c>
      <c r="J23" s="148">
        <f>IF(G23&lt;=248.93,0,(IFERROR(IF(ROUND((((H23/F23*30.4)-VLOOKUP((H23/F23*30.4),TARIFA,1))*VLOOKUP((H23/F23*30.4),TARIFA,3)+VLOOKUP((H23/F23*30.4),TARIFA,2)-VLOOKUP((H23/F23*30.4),SUBSIDIO,2))/30.4*F23,2)&gt;0,ROUND((((H23/F23*30.4)-VLOOKUP((H23/F23*30.4),TARIFA,1))*VLOOKUP((H23/F23*30.4),TARIFA,3)+VLOOKUP((H23/F23*30.4),TARIFA,2)-VLOOKUP((H23/F23*30.4),SUBSIDIO,2))/30.4*F23,2),0),0)))</f>
        <v>116.33</v>
      </c>
      <c r="K23" s="96">
        <f>J23</f>
        <v>116.33</v>
      </c>
      <c r="L23" s="96">
        <f>H23+I23-K23</f>
        <v>4159.67</v>
      </c>
      <c r="M23" s="111"/>
    </row>
    <row r="24" spans="1:96" ht="30" customHeight="1" x14ac:dyDescent="0.2">
      <c r="B24" s="107">
        <v>10</v>
      </c>
      <c r="C24" s="205"/>
      <c r="D24" s="99" t="s">
        <v>164</v>
      </c>
      <c r="E24" s="93" t="s">
        <v>38</v>
      </c>
      <c r="F24" s="64">
        <v>15</v>
      </c>
      <c r="G24" s="94">
        <v>198.53299999999999</v>
      </c>
      <c r="H24" s="95">
        <f t="shared" si="8"/>
        <v>2978</v>
      </c>
      <c r="I24" s="148">
        <v>0</v>
      </c>
      <c r="J24" s="148">
        <f>IF(G24&lt;=248.93,0,(IFERROR(IF(ROUND((((H24/F24*30.4)-VLOOKUP((H24/F24*30.4),TARIFA,1))*VLOOKUP((H24/F24*30.4),TARIFA,3)+VLOOKUP((H24/F24*30.4),TARIFA,2)-VLOOKUP((H24/F24*30.4),SUBSIDIO,2))/30.4*F24,2)&gt;0,ROUND((((H24/F24*30.4)-VLOOKUP((H24/F24*30.4),TARIFA,1))*VLOOKUP((H24/F24*30.4),TARIFA,3)+VLOOKUP((H24/F24*30.4),TARIFA,2)-VLOOKUP((H24/F24*30.4),SUBSIDIO,2))/30.4*F24,2),0),0)))</f>
        <v>0</v>
      </c>
      <c r="K24" s="144">
        <f>J24</f>
        <v>0</v>
      </c>
      <c r="L24" s="96">
        <f>H24+I24-K24</f>
        <v>2978</v>
      </c>
      <c r="M24" s="111"/>
    </row>
    <row r="25" spans="1:96" ht="30" customHeight="1" x14ac:dyDescent="0.2">
      <c r="B25" s="107">
        <v>11</v>
      </c>
      <c r="C25" s="205"/>
      <c r="D25" s="99" t="s">
        <v>165</v>
      </c>
      <c r="E25" s="93" t="s">
        <v>38</v>
      </c>
      <c r="F25" s="64">
        <v>15</v>
      </c>
      <c r="G25" s="94">
        <v>198.53299999999999</v>
      </c>
      <c r="H25" s="95">
        <f t="shared" si="8"/>
        <v>2978</v>
      </c>
      <c r="I25" s="148">
        <v>0</v>
      </c>
      <c r="J25" s="148">
        <f>IF(G25&lt;=248.93,0,(IFERROR(IF(ROUND((((H25/F25*30.4)-VLOOKUP((H25/F25*30.4),TARIFA,1))*VLOOKUP((H25/F25*30.4),TARIFA,3)+VLOOKUP((H25/F25*30.4),TARIFA,2)-VLOOKUP((H25/F25*30.4),SUBSIDIO,2))/30.4*F25,2)&gt;0,ROUND((((H25/F25*30.4)-VLOOKUP((H25/F25*30.4),TARIFA,1))*VLOOKUP((H25/F25*30.4),TARIFA,3)+VLOOKUP((H25/F25*30.4),TARIFA,2)-VLOOKUP((H25/F25*30.4),SUBSIDIO,2))/30.4*F25,2),0),0)))</f>
        <v>0</v>
      </c>
      <c r="K25" s="144">
        <f>J25</f>
        <v>0</v>
      </c>
      <c r="L25" s="96">
        <f>H25+I25-K25</f>
        <v>2978</v>
      </c>
      <c r="M25" s="111"/>
    </row>
    <row r="26" spans="1:96" ht="30" customHeight="1" x14ac:dyDescent="0.2">
      <c r="B26" s="107">
        <v>12</v>
      </c>
      <c r="C26" s="205"/>
      <c r="D26" s="99" t="s">
        <v>347</v>
      </c>
      <c r="E26" s="93" t="s">
        <v>38</v>
      </c>
      <c r="F26" s="64">
        <v>15</v>
      </c>
      <c r="G26" s="94">
        <v>198.53299999999999</v>
      </c>
      <c r="H26" s="95">
        <f t="shared" si="8"/>
        <v>2978</v>
      </c>
      <c r="I26" s="148">
        <v>0</v>
      </c>
      <c r="J26" s="148">
        <f>IF(G26&lt;=248.93,0,(IFERROR(IF(ROUND((((H26/F26*30.4)-VLOOKUP((H26/F26*30.4),TARIFA,1))*VLOOKUP((H26/F26*30.4),TARIFA,3)+VLOOKUP((H26/F26*30.4),TARIFA,2)-VLOOKUP((H26/F26*30.4),SUBSIDIO,2))/30.4*F26,2)&gt;0,ROUND((((H26/F26*30.4)-VLOOKUP((H26/F26*30.4),TARIFA,1))*VLOOKUP((H26/F26*30.4),TARIFA,3)+VLOOKUP((H26/F26*30.4),TARIFA,2)-VLOOKUP((H26/F26*30.4),SUBSIDIO,2))/30.4*F26,2),0),0)))</f>
        <v>0</v>
      </c>
      <c r="K26" s="144">
        <f>J26</f>
        <v>0</v>
      </c>
      <c r="L26" s="96">
        <f>H26+I26-K26</f>
        <v>2978</v>
      </c>
      <c r="M26" s="111"/>
    </row>
    <row r="27" spans="1:96" ht="30" customHeight="1" x14ac:dyDescent="0.2">
      <c r="B27" s="107"/>
      <c r="C27" s="205"/>
      <c r="D27" s="72"/>
      <c r="E27" s="66" t="s">
        <v>33</v>
      </c>
      <c r="F27" s="198"/>
      <c r="G27" s="100"/>
      <c r="H27" s="98">
        <f>SUM(H23:H26)</f>
        <v>13210</v>
      </c>
      <c r="I27" s="143">
        <v>0</v>
      </c>
      <c r="J27" s="98">
        <f>SUM(J23:J26)</f>
        <v>116.33</v>
      </c>
      <c r="K27" s="98">
        <f>SUM(K23:K26)</f>
        <v>116.33</v>
      </c>
      <c r="L27" s="98">
        <f>SUM(L23:L26)</f>
        <v>13093.67</v>
      </c>
      <c r="M27" s="110"/>
    </row>
    <row r="28" spans="1:96" ht="30" customHeight="1" x14ac:dyDescent="0.2">
      <c r="B28" s="383" t="s">
        <v>142</v>
      </c>
      <c r="C28" s="384"/>
      <c r="D28" s="384"/>
      <c r="E28" s="384"/>
      <c r="F28" s="384"/>
      <c r="G28" s="384"/>
      <c r="H28" s="384"/>
      <c r="I28" s="384"/>
      <c r="J28" s="384"/>
      <c r="K28" s="384"/>
      <c r="L28" s="384"/>
      <c r="M28" s="385"/>
    </row>
    <row r="29" spans="1:96" s="5" customFormat="1" ht="30" customHeight="1" x14ac:dyDescent="0.2">
      <c r="B29" s="107">
        <v>13</v>
      </c>
      <c r="C29" s="205"/>
      <c r="D29" s="99" t="s">
        <v>166</v>
      </c>
      <c r="E29" s="93" t="s">
        <v>152</v>
      </c>
      <c r="F29" s="64">
        <v>15</v>
      </c>
      <c r="G29" s="94">
        <v>381.4665</v>
      </c>
      <c r="H29" s="95">
        <f t="shared" ref="H29:H30" si="9">ROUND(F29*G29,2)</f>
        <v>5722</v>
      </c>
      <c r="I29" s="148">
        <v>0</v>
      </c>
      <c r="J29" s="148">
        <f>IF(G29&lt;=248.93,0,(IFERROR(IF(ROUND((((H29/F29*30.4)-VLOOKUP((H29/F29*30.4),TARIFA,1))*VLOOKUP((H29/F29*30.4),TARIFA,3)+VLOOKUP((H29/F29*30.4),TARIFA,2)-VLOOKUP((H29/F29*30.4),SUBSIDIO,2))/30.4*F29,2)&gt;0,ROUND((((H29/F29*30.4)-VLOOKUP((H29/F29*30.4),TARIFA,1))*VLOOKUP((H29/F29*30.4),TARIFA,3)+VLOOKUP((H29/F29*30.4),TARIFA,2)-VLOOKUP((H29/F29*30.4),SUBSIDIO,2))/30.4*F29,2),0),0)))</f>
        <v>477.93</v>
      </c>
      <c r="K29" s="96">
        <f>J29</f>
        <v>477.93</v>
      </c>
      <c r="L29" s="96">
        <f>H29+I29-K29</f>
        <v>5244.07</v>
      </c>
      <c r="M29" s="111"/>
    </row>
    <row r="30" spans="1:96" s="77" customFormat="1" ht="30" customHeight="1" x14ac:dyDescent="0.2">
      <c r="A30" s="5"/>
      <c r="B30" s="107">
        <v>14</v>
      </c>
      <c r="C30" s="205"/>
      <c r="D30" s="99" t="s">
        <v>155</v>
      </c>
      <c r="E30" s="93" t="s">
        <v>42</v>
      </c>
      <c r="F30" s="64">
        <v>15</v>
      </c>
      <c r="G30" s="96">
        <v>228.733</v>
      </c>
      <c r="H30" s="95">
        <f t="shared" si="9"/>
        <v>3431</v>
      </c>
      <c r="I30" s="148">
        <v>0</v>
      </c>
      <c r="J30" s="148">
        <f>IF(G30&lt;=248.93,0,(IFERROR(IF(ROUND((((H30/F30*30.4)-VLOOKUP((H30/F30*30.4),TARIFA,1))*VLOOKUP((H30/F30*30.4),TARIFA,3)+VLOOKUP((H30/F30*30.4),TARIFA,2)-VLOOKUP((H30/F30*30.4),SUBSIDIO,2))/30.4*F30,2)&gt;0,ROUND((((H30/F30*30.4)-VLOOKUP((H30/F30*30.4),TARIFA,1))*VLOOKUP((H30/F30*30.4),TARIFA,3)+VLOOKUP((H30/F30*30.4),TARIFA,2)-VLOOKUP((H30/F30*30.4),SUBSIDIO,2))/30.4*F30,2),0),0)))</f>
        <v>0</v>
      </c>
      <c r="K30" s="144">
        <f>J30</f>
        <v>0</v>
      </c>
      <c r="L30" s="96">
        <f>H30+I30-K30</f>
        <v>3431</v>
      </c>
      <c r="M30" s="111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</row>
    <row r="31" spans="1:96" ht="30" customHeight="1" x14ac:dyDescent="0.2">
      <c r="B31" s="107"/>
      <c r="C31" s="205"/>
      <c r="D31" s="72"/>
      <c r="E31" s="66" t="s">
        <v>33</v>
      </c>
      <c r="F31" s="198"/>
      <c r="G31" s="65"/>
      <c r="H31" s="98">
        <f>SUM(H29:H30)</f>
        <v>9153</v>
      </c>
      <c r="I31" s="143">
        <f>SUM(I29:I30)</f>
        <v>0</v>
      </c>
      <c r="J31" s="98">
        <f>SUM(J29:J30)</f>
        <v>477.93</v>
      </c>
      <c r="K31" s="98">
        <f>SUM(K29:K30)</f>
        <v>477.93</v>
      </c>
      <c r="L31" s="98">
        <f>SUM(L29:L30)</f>
        <v>8675.07</v>
      </c>
      <c r="M31" s="110"/>
    </row>
    <row r="32" spans="1:96" ht="30" customHeight="1" x14ac:dyDescent="0.2">
      <c r="B32" s="386" t="s">
        <v>39</v>
      </c>
      <c r="C32" s="387"/>
      <c r="D32" s="387"/>
      <c r="E32" s="387"/>
      <c r="F32" s="387"/>
      <c r="G32" s="387"/>
      <c r="H32" s="387"/>
      <c r="I32" s="387"/>
      <c r="J32" s="387"/>
      <c r="K32" s="387"/>
      <c r="L32" s="387"/>
      <c r="M32" s="388"/>
    </row>
    <row r="33" spans="1:96" s="77" customFormat="1" ht="30" customHeight="1" x14ac:dyDescent="0.2">
      <c r="A33" s="5"/>
      <c r="B33" s="107">
        <v>15</v>
      </c>
      <c r="C33" s="205" t="s">
        <v>339</v>
      </c>
      <c r="D33" s="99" t="s">
        <v>268</v>
      </c>
      <c r="E33" s="93" t="s">
        <v>269</v>
      </c>
      <c r="F33" s="64">
        <v>15</v>
      </c>
      <c r="G33" s="96">
        <v>315.13299999999998</v>
      </c>
      <c r="H33" s="95">
        <f t="shared" ref="H33:H35" si="10">ROUND(F33*G33,2)</f>
        <v>4727</v>
      </c>
      <c r="I33" s="148">
        <v>0</v>
      </c>
      <c r="J33" s="148">
        <f>IF(G33&lt;=248.93,0,(IFERROR(IF(ROUND((((H33/F33*30.4)-VLOOKUP((H33/F33*30.4),TARIFA,1))*VLOOKUP((H33/F33*30.4),TARIFA,3)+VLOOKUP((H33/F33*30.4),TARIFA,2)-VLOOKUP((H33/F33*30.4),SUBSIDIO,2))/30.4*F33,2)&gt;0,ROUND((((H33/F33*30.4)-VLOOKUP((H33/F33*30.4),TARIFA,1))*VLOOKUP((H33/F33*30.4),TARIFA,3)+VLOOKUP((H33/F33*30.4),TARIFA,2)-VLOOKUP((H33/F33*30.4),SUBSIDIO,2))/30.4*F33,2),0),0)))</f>
        <v>357.83</v>
      </c>
      <c r="K33" s="96">
        <f>J33</f>
        <v>357.83</v>
      </c>
      <c r="L33" s="96">
        <f>H33+I33-K33</f>
        <v>4369.17</v>
      </c>
      <c r="M33" s="111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</row>
    <row r="34" spans="1:96" ht="30" customHeight="1" x14ac:dyDescent="0.2">
      <c r="B34" s="107">
        <v>16</v>
      </c>
      <c r="C34" s="205"/>
      <c r="D34" s="99" t="s">
        <v>167</v>
      </c>
      <c r="E34" s="93" t="s">
        <v>41</v>
      </c>
      <c r="F34" s="64">
        <v>15</v>
      </c>
      <c r="G34" s="96">
        <v>174.02600000000001</v>
      </c>
      <c r="H34" s="95">
        <f t="shared" si="10"/>
        <v>2610.39</v>
      </c>
      <c r="I34" s="142">
        <v>0</v>
      </c>
      <c r="J34" s="144">
        <f>IF(G34&lt;=248.93,0,(IFERROR(IF(ROUND((((H34/F34*30.4)-VLOOKUP((H34/F34*30.4),TARIFA,1))*VLOOKUP((H34/F34*30.4),TARIFA,3)+VLOOKUP((H34/F34*30.4),TARIFA,2)-VLOOKUP((H34/F34*30.4),SUBSIDIO,2))/30.4*F34,2)&gt;0,ROUND((((H34/F34*30.4)-VLOOKUP((H34/F34*30.4),TARIFA,1))*VLOOKUP((H34/F34*30.4),TARIFA,3)+VLOOKUP((H34/F34*30.4),TARIFA,2)-VLOOKUP((H34/F34*30.4),SUBSIDIO,2))/30.4*F34,2),0),0)))</f>
        <v>0</v>
      </c>
      <c r="K34" s="144">
        <f>J34</f>
        <v>0</v>
      </c>
      <c r="L34" s="96">
        <f>H34+I34-K34</f>
        <v>2610.39</v>
      </c>
      <c r="M34" s="111"/>
    </row>
    <row r="35" spans="1:96" s="78" customFormat="1" ht="30" customHeight="1" x14ac:dyDescent="0.2">
      <c r="A35" s="28"/>
      <c r="B35" s="107">
        <v>17</v>
      </c>
      <c r="C35" s="205" t="s">
        <v>339</v>
      </c>
      <c r="D35" s="99" t="s">
        <v>168</v>
      </c>
      <c r="E35" s="93" t="s">
        <v>107</v>
      </c>
      <c r="F35" s="64">
        <v>15</v>
      </c>
      <c r="G35" s="96">
        <v>274.875</v>
      </c>
      <c r="H35" s="95">
        <f t="shared" si="10"/>
        <v>4123.13</v>
      </c>
      <c r="I35" s="148">
        <v>0</v>
      </c>
      <c r="J35" s="148">
        <f>IF(G35&lt;=248.93,0,(IFERROR(IF(ROUND((((H35/F35*30.4)-VLOOKUP((H35/F35*30.4),TARIFA,1))*VLOOKUP((H35/F35*30.4),TARIFA,3)+VLOOKUP((H35/F35*30.4),TARIFA,2)-VLOOKUP((H35/F35*30.4),SUBSIDIO,2))/30.4*F35,2)&gt;0,ROUND((((H35/F35*30.4)-VLOOKUP((H35/F35*30.4),TARIFA,1))*VLOOKUP((H35/F35*30.4),TARIFA,3)+VLOOKUP((H35/F35*30.4),TARIFA,2)-VLOOKUP((H35/F35*30.4),SUBSIDIO,2))/30.4*F35,2),0),0)))</f>
        <v>99.7</v>
      </c>
      <c r="K35" s="96">
        <f>J35</f>
        <v>99.7</v>
      </c>
      <c r="L35" s="96">
        <f>H35+I35-K35</f>
        <v>4023.4300000000003</v>
      </c>
      <c r="M35" s="111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8"/>
      <c r="CD35" s="28"/>
      <c r="CE35" s="28"/>
      <c r="CF35" s="28"/>
      <c r="CG35" s="28"/>
      <c r="CH35" s="28"/>
      <c r="CI35" s="28"/>
      <c r="CJ35" s="28"/>
      <c r="CK35" s="28"/>
      <c r="CL35" s="28"/>
      <c r="CM35" s="28"/>
      <c r="CN35" s="28"/>
      <c r="CO35" s="28"/>
      <c r="CP35" s="28"/>
      <c r="CQ35" s="28"/>
      <c r="CR35" s="28"/>
    </row>
    <row r="36" spans="1:96" ht="30" customHeight="1" x14ac:dyDescent="0.2">
      <c r="B36" s="107"/>
      <c r="C36" s="205"/>
      <c r="D36" s="72"/>
      <c r="E36" s="66" t="s">
        <v>33</v>
      </c>
      <c r="F36" s="198"/>
      <c r="G36" s="208"/>
      <c r="H36" s="98">
        <f>SUM(H33:H35)</f>
        <v>11460.52</v>
      </c>
      <c r="I36" s="143">
        <f>SUM(I33:I35)</f>
        <v>0</v>
      </c>
      <c r="J36" s="98">
        <f>SUM(J33:J35)</f>
        <v>457.53</v>
      </c>
      <c r="K36" s="98">
        <f>SUM(K33:K35)</f>
        <v>457.53</v>
      </c>
      <c r="L36" s="98">
        <f>SUM(L33:L35)</f>
        <v>11002.99</v>
      </c>
      <c r="M36" s="110"/>
    </row>
    <row r="37" spans="1:96" ht="30" customHeight="1" x14ac:dyDescent="0.2">
      <c r="B37" s="383" t="s">
        <v>76</v>
      </c>
      <c r="C37" s="384"/>
      <c r="D37" s="384"/>
      <c r="E37" s="384"/>
      <c r="F37" s="384"/>
      <c r="G37" s="384"/>
      <c r="H37" s="384"/>
      <c r="I37" s="384"/>
      <c r="J37" s="384"/>
      <c r="K37" s="384"/>
      <c r="L37" s="384"/>
      <c r="M37" s="385"/>
    </row>
    <row r="38" spans="1:96" ht="30" customHeight="1" x14ac:dyDescent="0.2">
      <c r="B38" s="107">
        <v>18</v>
      </c>
      <c r="C38" s="205"/>
      <c r="D38" s="99" t="s">
        <v>169</v>
      </c>
      <c r="E38" s="93" t="s">
        <v>445</v>
      </c>
      <c r="F38" s="64">
        <v>15</v>
      </c>
      <c r="G38" s="96">
        <v>315.13299999999998</v>
      </c>
      <c r="H38" s="95">
        <f t="shared" ref="H38" si="11">ROUND(F38*G38,2)</f>
        <v>4727</v>
      </c>
      <c r="I38" s="148">
        <v>0</v>
      </c>
      <c r="J38" s="148">
        <f>IF(G38&lt;=248.93,0,(IFERROR(IF(ROUND((((H38/F38*30.4)-VLOOKUP((H38/F38*30.4),TARIFA,1))*VLOOKUP((H38/F38*30.4),TARIFA,3)+VLOOKUP((H38/F38*30.4),TARIFA,2)-VLOOKUP((H38/F38*30.4),SUBSIDIO,2))/30.4*F38,2)&gt;0,ROUND((((H38/F38*30.4)-VLOOKUP((H38/F38*30.4),TARIFA,1))*VLOOKUP((H38/F38*30.4),TARIFA,3)+VLOOKUP((H38/F38*30.4),TARIFA,2)-VLOOKUP((H38/F38*30.4),SUBSIDIO,2))/30.4*F38,2),0),0)))</f>
        <v>357.83</v>
      </c>
      <c r="K38" s="144">
        <f>J38</f>
        <v>357.83</v>
      </c>
      <c r="L38" s="96">
        <f>H38+I38-K38</f>
        <v>4369.17</v>
      </c>
      <c r="M38" s="111"/>
    </row>
    <row r="39" spans="1:96" ht="30" customHeight="1" x14ac:dyDescent="0.2">
      <c r="B39" s="107"/>
      <c r="C39" s="205"/>
      <c r="D39" s="72"/>
      <c r="E39" s="66" t="s">
        <v>33</v>
      </c>
      <c r="F39" s="198"/>
      <c r="G39" s="208"/>
      <c r="H39" s="98">
        <f>SUM(H38:H38)</f>
        <v>4727</v>
      </c>
      <c r="I39" s="143">
        <f>SUM(I38:I38)</f>
        <v>0</v>
      </c>
      <c r="J39" s="98">
        <f>SUM(J38:J38)</f>
        <v>357.83</v>
      </c>
      <c r="K39" s="98">
        <f>SUM(K38:K38)</f>
        <v>357.83</v>
      </c>
      <c r="L39" s="98">
        <f>SUM(L38:L38)</f>
        <v>4369.17</v>
      </c>
      <c r="M39" s="110"/>
    </row>
    <row r="40" spans="1:96" ht="30" customHeight="1" x14ac:dyDescent="0.2">
      <c r="B40" s="389" t="s">
        <v>43</v>
      </c>
      <c r="C40" s="390"/>
      <c r="D40" s="391"/>
      <c r="E40" s="391"/>
      <c r="F40" s="391"/>
      <c r="G40" s="391"/>
      <c r="H40" s="391"/>
      <c r="I40" s="391"/>
      <c r="J40" s="391"/>
      <c r="K40" s="391"/>
      <c r="L40" s="391"/>
      <c r="M40" s="392"/>
    </row>
    <row r="41" spans="1:96" s="5" customFormat="1" ht="30" customHeight="1" x14ac:dyDescent="0.2">
      <c r="B41" s="107">
        <v>19</v>
      </c>
      <c r="C41" s="205"/>
      <c r="D41" s="99" t="s">
        <v>170</v>
      </c>
      <c r="E41" s="93" t="s">
        <v>35</v>
      </c>
      <c r="F41" s="64">
        <v>15</v>
      </c>
      <c r="G41" s="96">
        <v>315.13299999999998</v>
      </c>
      <c r="H41" s="95">
        <f t="shared" ref="H41:H42" si="12">ROUND(F41*G41,2)</f>
        <v>4727</v>
      </c>
      <c r="I41" s="150">
        <v>0</v>
      </c>
      <c r="J41" s="148">
        <f>IF(G41&lt;=248.93,0,(IFERROR(IF(ROUND((((H41/F41*30.4)-VLOOKUP((H41/F41*30.4),TARIFA,1))*VLOOKUP((H41/F41*30.4),TARIFA,3)+VLOOKUP((H41/F41*30.4),TARIFA,2)-VLOOKUP((H41/F41*30.4),SUBSIDIO,2))/30.4*F41,2)&gt;0,ROUND((((H41/F41*30.4)-VLOOKUP((H41/F41*30.4),TARIFA,1))*VLOOKUP((H41/F41*30.4),TARIFA,3)+VLOOKUP((H41/F41*30.4),TARIFA,2)-VLOOKUP((H41/F41*30.4),SUBSIDIO,2))/30.4*F41,2),0),0)))</f>
        <v>357.83</v>
      </c>
      <c r="K41" s="96">
        <f>J41</f>
        <v>357.83</v>
      </c>
      <c r="L41" s="96">
        <f>H41+I41-K41</f>
        <v>4369.17</v>
      </c>
      <c r="M41" s="111"/>
    </row>
    <row r="42" spans="1:96" s="78" customFormat="1" ht="30" customHeight="1" x14ac:dyDescent="0.2">
      <c r="A42" s="28"/>
      <c r="B42" s="107">
        <v>20</v>
      </c>
      <c r="C42" s="205" t="s">
        <v>339</v>
      </c>
      <c r="D42" s="99" t="s">
        <v>171</v>
      </c>
      <c r="E42" s="93" t="s">
        <v>42</v>
      </c>
      <c r="F42" s="64">
        <v>15</v>
      </c>
      <c r="G42" s="96">
        <v>231.66650000000001</v>
      </c>
      <c r="H42" s="95">
        <f t="shared" si="12"/>
        <v>3475</v>
      </c>
      <c r="I42" s="142">
        <v>0</v>
      </c>
      <c r="J42" s="144">
        <f>IF(G42&lt;=248.93,0,(IFERROR(IF(ROUND((((H42/F42*30.4)-VLOOKUP((H42/F42*30.4),TARIFA,1))*VLOOKUP((H42/F42*30.4),TARIFA,3)+VLOOKUP((H42/F42*30.4),TARIFA,2)-VLOOKUP((H42/F42*30.4),SUBSIDIO,2))/30.4*F42,2)&gt;0,ROUND((((H42/F42*30.4)-VLOOKUP((H42/F42*30.4),TARIFA,1))*VLOOKUP((H42/F42*30.4),TARIFA,3)+VLOOKUP((H42/F42*30.4),TARIFA,2)-VLOOKUP((H42/F42*30.4),SUBSIDIO,2))/30.4*F42,2),0),0)))</f>
        <v>0</v>
      </c>
      <c r="K42" s="144">
        <f>J42</f>
        <v>0</v>
      </c>
      <c r="L42" s="96">
        <f>H42+I42-K42</f>
        <v>3475</v>
      </c>
      <c r="M42" s="111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28"/>
      <c r="BU42" s="28"/>
      <c r="BV42" s="28"/>
      <c r="BW42" s="28"/>
      <c r="BX42" s="28"/>
      <c r="BY42" s="28"/>
      <c r="BZ42" s="28"/>
      <c r="CA42" s="28"/>
      <c r="CB42" s="28"/>
      <c r="CC42" s="28"/>
      <c r="CD42" s="28"/>
      <c r="CE42" s="28"/>
      <c r="CF42" s="28"/>
      <c r="CG42" s="28"/>
      <c r="CH42" s="28"/>
      <c r="CI42" s="28"/>
      <c r="CJ42" s="28"/>
      <c r="CK42" s="28"/>
      <c r="CL42" s="28"/>
      <c r="CM42" s="28"/>
      <c r="CN42" s="28"/>
      <c r="CO42" s="28"/>
      <c r="CP42" s="28"/>
      <c r="CQ42" s="28"/>
      <c r="CR42" s="28"/>
    </row>
    <row r="43" spans="1:96" ht="30" customHeight="1" x14ac:dyDescent="0.2">
      <c r="B43" s="107"/>
      <c r="C43" s="205"/>
      <c r="D43" s="72"/>
      <c r="E43" s="66" t="s">
        <v>33</v>
      </c>
      <c r="F43" s="198"/>
      <c r="G43" s="208"/>
      <c r="H43" s="98">
        <f>SUM(H41:H42)</f>
        <v>8202</v>
      </c>
      <c r="I43" s="143">
        <f>SUM(I41:I42)</f>
        <v>0</v>
      </c>
      <c r="J43" s="98">
        <f>SUM(J41:J42)</f>
        <v>357.83</v>
      </c>
      <c r="K43" s="98">
        <f>SUM(K41:K42)</f>
        <v>357.83</v>
      </c>
      <c r="L43" s="98">
        <f>SUM(L41:L42)</f>
        <v>7844.17</v>
      </c>
      <c r="M43" s="110"/>
    </row>
    <row r="44" spans="1:96" ht="30" customHeight="1" x14ac:dyDescent="0.2">
      <c r="B44" s="383" t="s">
        <v>44</v>
      </c>
      <c r="C44" s="384"/>
      <c r="D44" s="384"/>
      <c r="E44" s="384"/>
      <c r="F44" s="384"/>
      <c r="G44" s="384"/>
      <c r="H44" s="384"/>
      <c r="I44" s="384"/>
      <c r="J44" s="384"/>
      <c r="K44" s="384"/>
      <c r="L44" s="384"/>
      <c r="M44" s="385"/>
    </row>
    <row r="45" spans="1:96" s="78" customFormat="1" ht="30" customHeight="1" x14ac:dyDescent="0.2">
      <c r="A45" s="28"/>
      <c r="B45" s="107">
        <v>21</v>
      </c>
      <c r="C45" s="205" t="s">
        <v>339</v>
      </c>
      <c r="D45" s="99" t="s">
        <v>172</v>
      </c>
      <c r="E45" s="93" t="s">
        <v>35</v>
      </c>
      <c r="F45" s="64">
        <v>13</v>
      </c>
      <c r="G45" s="96">
        <v>315.13299999999998</v>
      </c>
      <c r="H45" s="95">
        <f t="shared" ref="H45:H46" si="13">ROUND(F45*G45,2)</f>
        <v>4096.7299999999996</v>
      </c>
      <c r="I45" s="148">
        <v>0</v>
      </c>
      <c r="J45" s="148">
        <f>IF(G45&lt;=248.93,0,(IFERROR(IF(ROUND((((H45/F45*30.4)-VLOOKUP((H45/F45*30.4),TARIFA,1))*VLOOKUP((H45/F45*30.4),TARIFA,3)+VLOOKUP((H45/F45*30.4),TARIFA,2)-VLOOKUP((H45/F45*30.4),SUBSIDIO,2))/30.4*F45,2)&gt;0,ROUND((((H45/F45*30.4)-VLOOKUP((H45/F45*30.4),TARIFA,1))*VLOOKUP((H45/F45*30.4),TARIFA,3)+VLOOKUP((H45/F45*30.4),TARIFA,2)-VLOOKUP((H45/F45*30.4),SUBSIDIO,2))/30.4*F45,2),0),0)))</f>
        <v>310.12</v>
      </c>
      <c r="K45" s="96">
        <f>J45</f>
        <v>310.12</v>
      </c>
      <c r="L45" s="96">
        <f>H45+I45-K45</f>
        <v>3786.6099999999997</v>
      </c>
      <c r="M45" s="111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  <c r="BY45" s="28"/>
      <c r="BZ45" s="28"/>
      <c r="CA45" s="28"/>
      <c r="CB45" s="28"/>
      <c r="CC45" s="28"/>
      <c r="CD45" s="28"/>
      <c r="CE45" s="28"/>
      <c r="CF45" s="28"/>
      <c r="CG45" s="28"/>
      <c r="CH45" s="28"/>
      <c r="CI45" s="28"/>
      <c r="CJ45" s="28"/>
      <c r="CK45" s="28"/>
      <c r="CL45" s="28"/>
      <c r="CM45" s="28"/>
      <c r="CN45" s="28"/>
      <c r="CO45" s="28"/>
      <c r="CP45" s="28"/>
      <c r="CQ45" s="28"/>
      <c r="CR45" s="28"/>
    </row>
    <row r="46" spans="1:96" ht="30" customHeight="1" x14ac:dyDescent="0.2">
      <c r="B46" s="107">
        <v>22</v>
      </c>
      <c r="C46" s="205"/>
      <c r="D46" s="99" t="s">
        <v>173</v>
      </c>
      <c r="E46" s="93" t="s">
        <v>112</v>
      </c>
      <c r="F46" s="64">
        <v>15</v>
      </c>
      <c r="G46" s="96">
        <v>140.602</v>
      </c>
      <c r="H46" s="95">
        <f t="shared" si="13"/>
        <v>2109.0300000000002</v>
      </c>
      <c r="I46" s="148">
        <v>0</v>
      </c>
      <c r="J46" s="148">
        <f>IF(G46&lt;=248.93,0,(IFERROR(IF(ROUND((((H46/F46*30.4)-VLOOKUP((H46/F46*30.4),TARIFA,1))*VLOOKUP((H46/F46*30.4),TARIFA,3)+VLOOKUP((H46/F46*30.4),TARIFA,2)-VLOOKUP((H46/F46*30.4),SUBSIDIO,2))/30.4*F46,2)&gt;0,ROUND((((H46/F46*30.4)-VLOOKUP((H46/F46*30.4),TARIFA,1))*VLOOKUP((H46/F46*30.4),TARIFA,3)+VLOOKUP((H46/F46*30.4),TARIFA,2)-VLOOKUP((H46/F46*30.4),SUBSIDIO,2))/30.4*F46,2),0),0)))</f>
        <v>0</v>
      </c>
      <c r="K46" s="144">
        <v>0</v>
      </c>
      <c r="L46" s="96">
        <f>H46+I46-K46</f>
        <v>2109.0300000000002</v>
      </c>
      <c r="M46" s="111"/>
    </row>
    <row r="47" spans="1:96" ht="30" customHeight="1" x14ac:dyDescent="0.2">
      <c r="B47" s="107"/>
      <c r="C47" s="205"/>
      <c r="D47" s="72"/>
      <c r="E47" s="66" t="s">
        <v>33</v>
      </c>
      <c r="F47" s="198"/>
      <c r="G47" s="208"/>
      <c r="H47" s="98">
        <f>SUM(H45:H46)</f>
        <v>6205.76</v>
      </c>
      <c r="I47" s="143">
        <f>SUM(I45:I46)</f>
        <v>0</v>
      </c>
      <c r="J47" s="98">
        <f>SUM(J45:J46)</f>
        <v>310.12</v>
      </c>
      <c r="K47" s="98">
        <f>SUM(K45:K46)</f>
        <v>310.12</v>
      </c>
      <c r="L47" s="98">
        <f>SUM(L45:L46)</f>
        <v>5895.6399999999994</v>
      </c>
      <c r="M47" s="110"/>
    </row>
    <row r="48" spans="1:96" s="5" customFormat="1" ht="30" customHeight="1" x14ac:dyDescent="0.2">
      <c r="B48" s="383" t="s">
        <v>79</v>
      </c>
      <c r="C48" s="384"/>
      <c r="D48" s="384"/>
      <c r="E48" s="384"/>
      <c r="F48" s="384"/>
      <c r="G48" s="384"/>
      <c r="H48" s="384"/>
      <c r="I48" s="384"/>
      <c r="J48" s="384"/>
      <c r="K48" s="384"/>
      <c r="L48" s="384"/>
      <c r="M48" s="385"/>
    </row>
    <row r="49" spans="1:96" s="5" customFormat="1" ht="30" customHeight="1" x14ac:dyDescent="0.2">
      <c r="B49" s="107">
        <v>23</v>
      </c>
      <c r="C49" s="205"/>
      <c r="D49" s="99" t="s">
        <v>174</v>
      </c>
      <c r="E49" s="93" t="s">
        <v>35</v>
      </c>
      <c r="F49" s="64">
        <v>15</v>
      </c>
      <c r="G49" s="96">
        <v>315.13299999999998</v>
      </c>
      <c r="H49" s="95">
        <f t="shared" ref="H49" si="14">ROUND(F49*G49,2)</f>
        <v>4727</v>
      </c>
      <c r="I49" s="148">
        <v>0</v>
      </c>
      <c r="J49" s="148">
        <f>IF(G49&lt;=248.93,0,(IFERROR(IF(ROUND((((H49/F49*30.4)-VLOOKUP((H49/F49*30.4),TARIFA,1))*VLOOKUP((H49/F49*30.4),TARIFA,3)+VLOOKUP((H49/F49*30.4),TARIFA,2)-VLOOKUP((H49/F49*30.4),SUBSIDIO,2))/30.4*F49,2)&gt;0,ROUND((((H49/F49*30.4)-VLOOKUP((H49/F49*30.4),TARIFA,1))*VLOOKUP((H49/F49*30.4),TARIFA,3)+VLOOKUP((H49/F49*30.4),TARIFA,2)-VLOOKUP((H49/F49*30.4),SUBSIDIO,2))/30.4*F49,2),0),0)))</f>
        <v>357.83</v>
      </c>
      <c r="K49" s="96">
        <f>J49</f>
        <v>357.83</v>
      </c>
      <c r="L49" s="96">
        <f>H49+I49-K49</f>
        <v>4369.17</v>
      </c>
      <c r="M49" s="111"/>
    </row>
    <row r="50" spans="1:96" s="5" customFormat="1" ht="30" customHeight="1" x14ac:dyDescent="0.2">
      <c r="B50" s="107"/>
      <c r="C50" s="205"/>
      <c r="D50" s="72"/>
      <c r="E50" s="66" t="s">
        <v>33</v>
      </c>
      <c r="F50" s="198"/>
      <c r="G50" s="208"/>
      <c r="H50" s="98">
        <f>SUM(H49:H49)</f>
        <v>4727</v>
      </c>
      <c r="I50" s="143">
        <f>SUM(I49:I49)</f>
        <v>0</v>
      </c>
      <c r="J50" s="98">
        <f>SUM(J49:J49)</f>
        <v>357.83</v>
      </c>
      <c r="K50" s="98">
        <f>SUM(K49:K49)</f>
        <v>357.83</v>
      </c>
      <c r="L50" s="98">
        <f>SUM(L49:L49)</f>
        <v>4369.17</v>
      </c>
      <c r="M50" s="110"/>
    </row>
    <row r="51" spans="1:96" s="5" customFormat="1" ht="30" customHeight="1" x14ac:dyDescent="0.2">
      <c r="B51" s="389" t="s">
        <v>45</v>
      </c>
      <c r="C51" s="390"/>
      <c r="D51" s="391"/>
      <c r="E51" s="391"/>
      <c r="F51" s="391"/>
      <c r="G51" s="391"/>
      <c r="H51" s="391"/>
      <c r="I51" s="391"/>
      <c r="J51" s="391"/>
      <c r="K51" s="391"/>
      <c r="L51" s="391"/>
      <c r="M51" s="392"/>
    </row>
    <row r="52" spans="1:96" s="77" customFormat="1" ht="30" customHeight="1" x14ac:dyDescent="0.2">
      <c r="A52" s="5"/>
      <c r="B52" s="107">
        <v>24</v>
      </c>
      <c r="C52" s="205"/>
      <c r="D52" s="99" t="s">
        <v>175</v>
      </c>
      <c r="E52" s="93" t="s">
        <v>82</v>
      </c>
      <c r="F52" s="64">
        <v>15</v>
      </c>
      <c r="G52" s="96">
        <v>168.34800000000001</v>
      </c>
      <c r="H52" s="95">
        <f>ROUND(F52*G52,2)</f>
        <v>2525.2199999999998</v>
      </c>
      <c r="I52" s="142">
        <v>0</v>
      </c>
      <c r="J52" s="144">
        <f>IF(G52&lt;=248.93,0,(IFERROR(IF(ROUND((((H52/F52*30.4)-VLOOKUP((H52/F52*30.4),TARIFA,1))*VLOOKUP((H52/F52*30.4),TARIFA,3)+VLOOKUP((H52/F52*30.4),TARIFA,2)-VLOOKUP((H52/F52*30.4),SUBSIDIO,2))/30.4*F52,2)&gt;0,ROUND((((H52/F52*30.4)-VLOOKUP((H52/F52*30.4),TARIFA,1))*VLOOKUP((H52/F52*30.4),TARIFA,3)+VLOOKUP((H52/F52*30.4),TARIFA,2)-VLOOKUP((H52/F52*30.4),SUBSIDIO,2))/30.4*F52,2),0),0)))</f>
        <v>0</v>
      </c>
      <c r="K52" s="144">
        <f>J52</f>
        <v>0</v>
      </c>
      <c r="L52" s="96">
        <f>H52+I52-K52</f>
        <v>2525.2199999999998</v>
      </c>
      <c r="M52" s="111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</row>
    <row r="53" spans="1:96" s="77" customFormat="1" ht="30" customHeight="1" x14ac:dyDescent="0.2">
      <c r="A53" s="5"/>
      <c r="B53" s="107">
        <v>25</v>
      </c>
      <c r="C53" s="205" t="s">
        <v>339</v>
      </c>
      <c r="D53" s="99" t="s">
        <v>465</v>
      </c>
      <c r="E53" s="93" t="s">
        <v>466</v>
      </c>
      <c r="F53" s="64">
        <v>15</v>
      </c>
      <c r="G53" s="96">
        <v>114.315</v>
      </c>
      <c r="H53" s="95">
        <f t="shared" ref="H53" si="15">ROUND(F53*G53,2)</f>
        <v>1714.73</v>
      </c>
      <c r="I53" s="142">
        <v>0</v>
      </c>
      <c r="J53" s="144">
        <f>IF(G53&lt;=248.93,0,(IFERROR(IF(ROUND((((H53/F53*30.4)-VLOOKUP((H53/F53*30.4),TARIFA,1))*VLOOKUP((H53/F53*30.4),TARIFA,3)+VLOOKUP((H53/F53*30.4),TARIFA,2)-VLOOKUP((H53/F53*30.4),SUBSIDIO,2))/30.4*F53,2)&gt;0,ROUND((((H53/F53*30.4)-VLOOKUP((H53/F53*30.4),TARIFA,1))*VLOOKUP((H53/F53*30.4),TARIFA,3)+VLOOKUP((H53/F53*30.4),TARIFA,2)-VLOOKUP((H53/F53*30.4),SUBSIDIO,2))/30.4*F53,2),0),0)))</f>
        <v>0</v>
      </c>
      <c r="K53" s="144">
        <f>J53</f>
        <v>0</v>
      </c>
      <c r="L53" s="96">
        <f>H53+I53-K53</f>
        <v>1714.73</v>
      </c>
      <c r="M53" s="111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</row>
    <row r="54" spans="1:96" s="5" customFormat="1" ht="30" customHeight="1" x14ac:dyDescent="0.2">
      <c r="B54" s="107"/>
      <c r="C54" s="205"/>
      <c r="D54" s="72"/>
      <c r="E54" s="66" t="s">
        <v>33</v>
      </c>
      <c r="F54" s="64"/>
      <c r="G54" s="208"/>
      <c r="H54" s="98">
        <f>SUM(H52:H53)</f>
        <v>4239.95</v>
      </c>
      <c r="I54" s="143">
        <f t="shared" ref="I54:L54" si="16">SUM(I52:I53)</f>
        <v>0</v>
      </c>
      <c r="J54" s="143">
        <f t="shared" si="16"/>
        <v>0</v>
      </c>
      <c r="K54" s="143">
        <f t="shared" si="16"/>
        <v>0</v>
      </c>
      <c r="L54" s="98">
        <f t="shared" si="16"/>
        <v>4239.95</v>
      </c>
      <c r="M54" s="110"/>
    </row>
    <row r="55" spans="1:96" ht="30" customHeight="1" x14ac:dyDescent="0.2">
      <c r="B55" s="383" t="s">
        <v>46</v>
      </c>
      <c r="C55" s="384"/>
      <c r="D55" s="384"/>
      <c r="E55" s="384"/>
      <c r="F55" s="384"/>
      <c r="G55" s="384"/>
      <c r="H55" s="384"/>
      <c r="I55" s="384"/>
      <c r="J55" s="384"/>
      <c r="K55" s="384"/>
      <c r="L55" s="384"/>
      <c r="M55" s="385"/>
    </row>
    <row r="56" spans="1:96" s="5" customFormat="1" ht="30" customHeight="1" x14ac:dyDescent="0.2">
      <c r="B56" s="107">
        <v>26</v>
      </c>
      <c r="C56" s="205"/>
      <c r="D56" s="97" t="s">
        <v>240</v>
      </c>
      <c r="E56" s="93" t="s">
        <v>111</v>
      </c>
      <c r="F56" s="64">
        <v>15</v>
      </c>
      <c r="G56" s="96">
        <v>466.33300000000003</v>
      </c>
      <c r="H56" s="95">
        <f t="shared" ref="H56:H61" si="17">ROUND(F56*G56,2)</f>
        <v>6995</v>
      </c>
      <c r="I56" s="148">
        <v>0</v>
      </c>
      <c r="J56" s="148">
        <f t="shared" ref="J56:J61" si="18">IF(G56&lt;=248.93,0,(IFERROR(IF(ROUND((((H56/F56*30.4)-VLOOKUP((H56/F56*30.4),TARIFA,1))*VLOOKUP((H56/F56*30.4),TARIFA,3)+VLOOKUP((H56/F56*30.4),TARIFA,2)-VLOOKUP((H56/F56*30.4),SUBSIDIO,2))/30.4*F56,2)&gt;0,ROUND((((H56/F56*30.4)-VLOOKUP((H56/F56*30.4),TARIFA,1))*VLOOKUP((H56/F56*30.4),TARIFA,3)+VLOOKUP((H56/F56*30.4),TARIFA,2)-VLOOKUP((H56/F56*30.4),SUBSIDIO,2))/30.4*F56,2),0),0)))</f>
        <v>693.36</v>
      </c>
      <c r="K56" s="96">
        <f t="shared" ref="K56:K61" si="19">J56</f>
        <v>693.36</v>
      </c>
      <c r="L56" s="96">
        <f t="shared" ref="L56:L61" si="20">H56+I56-K56</f>
        <v>6301.64</v>
      </c>
      <c r="M56" s="111"/>
    </row>
    <row r="57" spans="1:96" ht="30" customHeight="1" x14ac:dyDescent="0.2">
      <c r="B57" s="107">
        <v>27</v>
      </c>
      <c r="C57" s="205"/>
      <c r="D57" s="99" t="s">
        <v>241</v>
      </c>
      <c r="E57" s="93" t="s">
        <v>42</v>
      </c>
      <c r="F57" s="64">
        <v>15</v>
      </c>
      <c r="G57" s="96">
        <v>262</v>
      </c>
      <c r="H57" s="95">
        <f t="shared" si="17"/>
        <v>3930</v>
      </c>
      <c r="I57" s="148">
        <v>0</v>
      </c>
      <c r="J57" s="148">
        <f t="shared" si="18"/>
        <v>78.69</v>
      </c>
      <c r="K57" s="96">
        <f t="shared" si="19"/>
        <v>78.69</v>
      </c>
      <c r="L57" s="96">
        <f t="shared" si="20"/>
        <v>3851.31</v>
      </c>
      <c r="M57" s="111"/>
    </row>
    <row r="58" spans="1:96" ht="30" customHeight="1" x14ac:dyDescent="0.2">
      <c r="B58" s="107">
        <v>28</v>
      </c>
      <c r="C58" s="205"/>
      <c r="D58" s="99" t="s">
        <v>242</v>
      </c>
      <c r="E58" s="93" t="s">
        <v>47</v>
      </c>
      <c r="F58" s="64">
        <v>15</v>
      </c>
      <c r="G58" s="96">
        <v>230.53299999999999</v>
      </c>
      <c r="H58" s="95">
        <f t="shared" si="17"/>
        <v>3458</v>
      </c>
      <c r="I58" s="148">
        <v>0</v>
      </c>
      <c r="J58" s="148">
        <f t="shared" si="18"/>
        <v>0</v>
      </c>
      <c r="K58" s="144">
        <f t="shared" si="19"/>
        <v>0</v>
      </c>
      <c r="L58" s="96">
        <f t="shared" si="20"/>
        <v>3458</v>
      </c>
      <c r="M58" s="111"/>
    </row>
    <row r="59" spans="1:96" ht="30" customHeight="1" x14ac:dyDescent="0.2">
      <c r="B59" s="107">
        <v>29</v>
      </c>
      <c r="C59" s="205" t="s">
        <v>339</v>
      </c>
      <c r="D59" s="99" t="s">
        <v>243</v>
      </c>
      <c r="E59" s="93" t="s">
        <v>48</v>
      </c>
      <c r="F59" s="64">
        <v>15</v>
      </c>
      <c r="G59" s="96">
        <v>264.33300000000003</v>
      </c>
      <c r="H59" s="95">
        <f t="shared" si="17"/>
        <v>3965</v>
      </c>
      <c r="I59" s="148">
        <v>0</v>
      </c>
      <c r="J59" s="148">
        <f t="shared" si="18"/>
        <v>82.49</v>
      </c>
      <c r="K59" s="96">
        <f t="shared" si="19"/>
        <v>82.49</v>
      </c>
      <c r="L59" s="96">
        <f t="shared" si="20"/>
        <v>3882.51</v>
      </c>
      <c r="M59" s="111"/>
    </row>
    <row r="60" spans="1:96" ht="30" customHeight="1" x14ac:dyDescent="0.2">
      <c r="B60" s="107">
        <v>30</v>
      </c>
      <c r="C60" s="205" t="s">
        <v>339</v>
      </c>
      <c r="D60" s="99" t="s">
        <v>244</v>
      </c>
      <c r="E60" s="93" t="s">
        <v>48</v>
      </c>
      <c r="F60" s="64">
        <v>15</v>
      </c>
      <c r="G60" s="96">
        <v>228.66650000000001</v>
      </c>
      <c r="H60" s="95">
        <f t="shared" si="17"/>
        <v>3430</v>
      </c>
      <c r="I60" s="148">
        <v>0</v>
      </c>
      <c r="J60" s="148">
        <f t="shared" si="18"/>
        <v>0</v>
      </c>
      <c r="K60" s="144">
        <f t="shared" si="19"/>
        <v>0</v>
      </c>
      <c r="L60" s="96">
        <f t="shared" si="20"/>
        <v>3430</v>
      </c>
      <c r="M60" s="111"/>
    </row>
    <row r="61" spans="1:96" ht="30" customHeight="1" x14ac:dyDescent="0.2">
      <c r="B61" s="107">
        <v>31</v>
      </c>
      <c r="C61" s="205"/>
      <c r="D61" s="99" t="s">
        <v>245</v>
      </c>
      <c r="E61" s="93" t="s">
        <v>49</v>
      </c>
      <c r="F61" s="64">
        <v>15</v>
      </c>
      <c r="G61" s="96">
        <v>384.8</v>
      </c>
      <c r="H61" s="95">
        <f t="shared" si="17"/>
        <v>5772</v>
      </c>
      <c r="I61" s="148">
        <v>0</v>
      </c>
      <c r="J61" s="148">
        <f t="shared" si="18"/>
        <v>485.93</v>
      </c>
      <c r="K61" s="96">
        <f t="shared" si="19"/>
        <v>485.93</v>
      </c>
      <c r="L61" s="96">
        <f t="shared" si="20"/>
        <v>5286.07</v>
      </c>
      <c r="M61" s="111"/>
    </row>
    <row r="62" spans="1:96" ht="30" customHeight="1" x14ac:dyDescent="0.2">
      <c r="B62" s="107"/>
      <c r="C62" s="205"/>
      <c r="D62" s="72"/>
      <c r="E62" s="66" t="s">
        <v>33</v>
      </c>
      <c r="F62" s="198"/>
      <c r="G62" s="208"/>
      <c r="H62" s="98">
        <f>SUM(H56:H61)</f>
        <v>27550</v>
      </c>
      <c r="I62" s="143">
        <f>SUM(I56:I61)</f>
        <v>0</v>
      </c>
      <c r="J62" s="98">
        <f>SUM(J56:J61)</f>
        <v>1340.47</v>
      </c>
      <c r="K62" s="98">
        <f>SUM(K56:K61)</f>
        <v>1340.47</v>
      </c>
      <c r="L62" s="98">
        <f>SUM(L56:L61)</f>
        <v>26209.53</v>
      </c>
      <c r="M62" s="110"/>
    </row>
    <row r="63" spans="1:96" s="5" customFormat="1" ht="30" customHeight="1" x14ac:dyDescent="0.2">
      <c r="B63" s="389" t="s">
        <v>293</v>
      </c>
      <c r="C63" s="390"/>
      <c r="D63" s="391"/>
      <c r="E63" s="391"/>
      <c r="F63" s="391"/>
      <c r="G63" s="391"/>
      <c r="H63" s="391"/>
      <c r="I63" s="391"/>
      <c r="J63" s="391"/>
      <c r="K63" s="391"/>
      <c r="L63" s="391"/>
      <c r="M63" s="392"/>
    </row>
    <row r="64" spans="1:96" s="5" customFormat="1" ht="30" customHeight="1" x14ac:dyDescent="0.2">
      <c r="B64" s="107">
        <v>32</v>
      </c>
      <c r="C64" s="205"/>
      <c r="D64" s="99" t="s">
        <v>239</v>
      </c>
      <c r="E64" s="93" t="s">
        <v>35</v>
      </c>
      <c r="F64" s="64">
        <v>15</v>
      </c>
      <c r="G64" s="96">
        <v>315.13299999999998</v>
      </c>
      <c r="H64" s="95">
        <f>ROUND(F64*G64,2)</f>
        <v>4727</v>
      </c>
      <c r="I64" s="148">
        <v>0</v>
      </c>
      <c r="J64" s="148">
        <f>IF(G64&lt;=248.93,0,(IFERROR(IF(ROUND((((H64/F64*30.4)-VLOOKUP((H64/F64*30.4),TARIFA,1))*VLOOKUP((H64/F64*30.4),TARIFA,3)+VLOOKUP((H64/F64*30.4),TARIFA,2)-VLOOKUP((H64/F64*30.4),SUBSIDIO,2))/30.4*F64,2)&gt;0,ROUND((((H64/F64*30.4)-VLOOKUP((H64/F64*30.4),TARIFA,1))*VLOOKUP((H64/F64*30.4),TARIFA,3)+VLOOKUP((H64/F64*30.4),TARIFA,2)-VLOOKUP((H64/F64*30.4),SUBSIDIO,2))/30.4*F64,2),0),0)))</f>
        <v>357.83</v>
      </c>
      <c r="K64" s="96">
        <f>J64</f>
        <v>357.83</v>
      </c>
      <c r="L64" s="96">
        <f>H64+I64-K64</f>
        <v>4369.17</v>
      </c>
      <c r="M64" s="111"/>
    </row>
    <row r="65" spans="1:96" s="5" customFormat="1" ht="30" customHeight="1" x14ac:dyDescent="0.2">
      <c r="B65" s="107"/>
      <c r="C65" s="205"/>
      <c r="D65" s="72"/>
      <c r="E65" s="66" t="s">
        <v>33</v>
      </c>
      <c r="F65" s="198"/>
      <c r="G65" s="208"/>
      <c r="H65" s="98">
        <f>+H64</f>
        <v>4727</v>
      </c>
      <c r="I65" s="143">
        <f>+I64</f>
        <v>0</v>
      </c>
      <c r="J65" s="98">
        <f>+J64</f>
        <v>357.83</v>
      </c>
      <c r="K65" s="98">
        <f>+K64</f>
        <v>357.83</v>
      </c>
      <c r="L65" s="98">
        <f>+L64</f>
        <v>4369.17</v>
      </c>
      <c r="M65" s="110"/>
    </row>
    <row r="66" spans="1:96" ht="30" customHeight="1" x14ac:dyDescent="0.2">
      <c r="B66" s="383" t="s">
        <v>52</v>
      </c>
      <c r="C66" s="384"/>
      <c r="D66" s="384"/>
      <c r="E66" s="384"/>
      <c r="F66" s="384"/>
      <c r="G66" s="384"/>
      <c r="H66" s="384"/>
      <c r="I66" s="384"/>
      <c r="J66" s="384"/>
      <c r="K66" s="384"/>
      <c r="L66" s="384"/>
      <c r="M66" s="385"/>
    </row>
    <row r="67" spans="1:96" ht="30" customHeight="1" x14ac:dyDescent="0.2">
      <c r="B67" s="107">
        <v>33</v>
      </c>
      <c r="C67" s="205"/>
      <c r="D67" s="99" t="s">
        <v>238</v>
      </c>
      <c r="E67" s="93" t="s">
        <v>51</v>
      </c>
      <c r="F67" s="64">
        <v>15</v>
      </c>
      <c r="G67" s="96">
        <v>325.86649999999997</v>
      </c>
      <c r="H67" s="95">
        <f>ROUND(F67*G67,2)</f>
        <v>4888</v>
      </c>
      <c r="I67" s="148">
        <v>0</v>
      </c>
      <c r="J67" s="148">
        <f>IF(G67&lt;=248.93,0,(IFERROR(IF(ROUND((((H67/F67*30.4)-VLOOKUP((H67/F67*30.4),TARIFA,1))*VLOOKUP((H67/F67*30.4),TARIFA,3)+VLOOKUP((H67/F67*30.4),TARIFA,2)-VLOOKUP((H67/F67*30.4),SUBSIDIO,2))/30.4*F67,2)&gt;0,ROUND((((H67/F67*30.4)-VLOOKUP((H67/F67*30.4),TARIFA,1))*VLOOKUP((H67/F67*30.4),TARIFA,3)+VLOOKUP((H67/F67*30.4),TARIFA,2)-VLOOKUP((H67/F67*30.4),SUBSIDIO,2))/30.4*F67,2),0),0)))</f>
        <v>375.35</v>
      </c>
      <c r="K67" s="96">
        <f>J67</f>
        <v>375.35</v>
      </c>
      <c r="L67" s="96">
        <f>H67+I67-K67</f>
        <v>4512.6499999999996</v>
      </c>
      <c r="M67" s="111"/>
    </row>
    <row r="68" spans="1:96" ht="30" customHeight="1" x14ac:dyDescent="0.2">
      <c r="B68" s="107">
        <v>34</v>
      </c>
      <c r="C68" s="205"/>
      <c r="D68" s="99" t="s">
        <v>473</v>
      </c>
      <c r="E68" s="93" t="s">
        <v>100</v>
      </c>
      <c r="F68" s="64">
        <v>15</v>
      </c>
      <c r="G68" s="96">
        <v>174.02600000000001</v>
      </c>
      <c r="H68" s="95">
        <f>ROUND(F68*G68,2)</f>
        <v>2610.39</v>
      </c>
      <c r="I68" s="148">
        <v>0</v>
      </c>
      <c r="J68" s="148">
        <f>IF(G68&lt;=248.93,0,(IFERROR(IF(ROUND((((H68/F68*30.4)-VLOOKUP((H68/F68*30.4),TARIFA,1))*VLOOKUP((H68/F68*30.4),TARIFA,3)+VLOOKUP((H68/F68*30.4),TARIFA,2)-VLOOKUP((H68/F68*30.4),SUBSIDIO,2))/30.4*F68,2)&gt;0,ROUND((((H68/F68*30.4)-VLOOKUP((H68/F68*30.4),TARIFA,1))*VLOOKUP((H68/F68*30.4),TARIFA,3)+VLOOKUP((H68/F68*30.4),TARIFA,2)-VLOOKUP((H68/F68*30.4),SUBSIDIO,2))/30.4*F68,2),0),0)))</f>
        <v>0</v>
      </c>
      <c r="K68" s="144">
        <f>J68</f>
        <v>0</v>
      </c>
      <c r="L68" s="96">
        <f>H68+I68-K68</f>
        <v>2610.39</v>
      </c>
      <c r="M68" s="111"/>
    </row>
    <row r="69" spans="1:96" ht="30" customHeight="1" x14ac:dyDescent="0.2">
      <c r="B69" s="107">
        <v>35</v>
      </c>
      <c r="C69" s="205"/>
      <c r="D69" s="99" t="s">
        <v>237</v>
      </c>
      <c r="E69" s="93" t="s">
        <v>110</v>
      </c>
      <c r="F69" s="64">
        <v>15</v>
      </c>
      <c r="G69" s="96">
        <v>148.34</v>
      </c>
      <c r="H69" s="95">
        <f>ROUND(F69*G69,2)</f>
        <v>2225.1</v>
      </c>
      <c r="I69" s="148">
        <v>0</v>
      </c>
      <c r="J69" s="148">
        <f>IF(G69&lt;=248.93,0,(IFERROR(IF(ROUND((((H69/F69*30.4)-VLOOKUP((H69/F69*30.4),TARIFA,1))*VLOOKUP((H69/F69*30.4),TARIFA,3)+VLOOKUP((H69/F69*30.4),TARIFA,2)-VLOOKUP((H69/F69*30.4),SUBSIDIO,2))/30.4*F69,2)&gt;0,ROUND((((H69/F69*30.4)-VLOOKUP((H69/F69*30.4),TARIFA,1))*VLOOKUP((H69/F69*30.4),TARIFA,3)+VLOOKUP((H69/F69*30.4),TARIFA,2)-VLOOKUP((H69/F69*30.4),SUBSIDIO,2))/30.4*F69,2),0),0)))</f>
        <v>0</v>
      </c>
      <c r="K69" s="144">
        <f>J69</f>
        <v>0</v>
      </c>
      <c r="L69" s="96">
        <f>H69+I69-K69</f>
        <v>2225.1</v>
      </c>
      <c r="M69" s="111"/>
    </row>
    <row r="70" spans="1:96" ht="30" customHeight="1" x14ac:dyDescent="0.2">
      <c r="B70" s="107"/>
      <c r="C70" s="205"/>
      <c r="D70" s="72"/>
      <c r="E70" s="66" t="s">
        <v>33</v>
      </c>
      <c r="F70" s="198"/>
      <c r="G70" s="208"/>
      <c r="H70" s="98">
        <f>SUM(H67:H69)</f>
        <v>9723.49</v>
      </c>
      <c r="I70" s="143">
        <f>SUM(I67:I69)</f>
        <v>0</v>
      </c>
      <c r="J70" s="98">
        <f>SUM(J67:J69)</f>
        <v>375.35</v>
      </c>
      <c r="K70" s="98">
        <f>SUM(K67:K69)</f>
        <v>375.35</v>
      </c>
      <c r="L70" s="98">
        <f>SUM(L67:L69)</f>
        <v>9348.14</v>
      </c>
      <c r="M70" s="110"/>
    </row>
    <row r="71" spans="1:96" ht="30" customHeight="1" x14ac:dyDescent="0.2">
      <c r="B71" s="383" t="s">
        <v>53</v>
      </c>
      <c r="C71" s="384"/>
      <c r="D71" s="384"/>
      <c r="E71" s="384"/>
      <c r="F71" s="384"/>
      <c r="G71" s="384"/>
      <c r="H71" s="384"/>
      <c r="I71" s="384"/>
      <c r="J71" s="384"/>
      <c r="K71" s="384"/>
      <c r="L71" s="384"/>
      <c r="M71" s="385"/>
    </row>
    <row r="72" spans="1:96" s="5" customFormat="1" ht="30" customHeight="1" x14ac:dyDescent="0.2">
      <c r="B72" s="107">
        <v>36</v>
      </c>
      <c r="C72" s="205"/>
      <c r="D72" s="99" t="s">
        <v>141</v>
      </c>
      <c r="E72" s="93" t="s">
        <v>51</v>
      </c>
      <c r="F72" s="64">
        <v>15</v>
      </c>
      <c r="G72" s="96">
        <v>325.8664</v>
      </c>
      <c r="H72" s="95">
        <f>ROUND(F72*G72,2)</f>
        <v>4888</v>
      </c>
      <c r="I72" s="148">
        <v>0</v>
      </c>
      <c r="J72" s="148">
        <f>IF(G72&lt;=248.93,0,(IFERROR(IF(ROUND((((H72/F72*30.4)-VLOOKUP((H72/F72*30.4),TARIFA,1))*VLOOKUP((H72/F72*30.4),TARIFA,3)+VLOOKUP((H72/F72*30.4),TARIFA,2)-VLOOKUP((H72/F72*30.4),SUBSIDIO,2))/30.4*F72,2)&gt;0,ROUND((((H72/F72*30.4)-VLOOKUP((H72/F72*30.4),TARIFA,1))*VLOOKUP((H72/F72*30.4),TARIFA,3)+VLOOKUP((H72/F72*30.4),TARIFA,2)-VLOOKUP((H72/F72*30.4),SUBSIDIO,2))/30.4*F72,2),0),0)))</f>
        <v>375.35</v>
      </c>
      <c r="K72" s="96">
        <f>J72</f>
        <v>375.35</v>
      </c>
      <c r="L72" s="96">
        <f>H72+I72-K72</f>
        <v>4512.6499999999996</v>
      </c>
      <c r="M72" s="111"/>
    </row>
    <row r="73" spans="1:96" s="78" customFormat="1" ht="30" customHeight="1" x14ac:dyDescent="0.2">
      <c r="A73" s="28"/>
      <c r="B73" s="107">
        <v>37</v>
      </c>
      <c r="C73" s="205"/>
      <c r="D73" s="99" t="s">
        <v>236</v>
      </c>
      <c r="E73" s="93" t="s">
        <v>40</v>
      </c>
      <c r="F73" s="64">
        <v>15</v>
      </c>
      <c r="G73" s="96">
        <v>130.18100000000001</v>
      </c>
      <c r="H73" s="95">
        <f>ROUND(F73*G73,2)</f>
        <v>1952.72</v>
      </c>
      <c r="I73" s="142">
        <v>0</v>
      </c>
      <c r="J73" s="144">
        <f>IF(G73&lt;=248.93,0,(IFERROR(IF(ROUND((((H73/F73*30.4)-VLOOKUP((H73/F73*30.4),TARIFA,1))*VLOOKUP((H73/F73*30.4),TARIFA,3)+VLOOKUP((H73/F73*30.4),TARIFA,2)-VLOOKUP((H73/F73*30.4),SUBSIDIO,2))/30.4*F73,2)&gt;0,ROUND((((H73/F73*30.4)-VLOOKUP((H73/F73*30.4),TARIFA,1))*VLOOKUP((H73/F73*30.4),TARIFA,3)+VLOOKUP((H73/F73*30.4),TARIFA,2)-VLOOKUP((H73/F73*30.4),SUBSIDIO,2))/30.4*F73,2),0),0)))</f>
        <v>0</v>
      </c>
      <c r="K73" s="144">
        <f>J73</f>
        <v>0</v>
      </c>
      <c r="L73" s="96">
        <f>H73+I73-K73</f>
        <v>1952.72</v>
      </c>
      <c r="M73" s="111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  <c r="BA73" s="28"/>
      <c r="BB73" s="28"/>
      <c r="BC73" s="28"/>
      <c r="BD73" s="28"/>
      <c r="BE73" s="28"/>
      <c r="BF73" s="28"/>
      <c r="BG73" s="28"/>
      <c r="BH73" s="28"/>
      <c r="BI73" s="28"/>
      <c r="BJ73" s="28"/>
      <c r="BK73" s="28"/>
      <c r="BL73" s="28"/>
      <c r="BM73" s="28"/>
      <c r="BN73" s="28"/>
      <c r="BO73" s="28"/>
      <c r="BP73" s="28"/>
      <c r="BQ73" s="28"/>
      <c r="BR73" s="28"/>
      <c r="BS73" s="28"/>
      <c r="BT73" s="28"/>
      <c r="BU73" s="28"/>
      <c r="BV73" s="28"/>
      <c r="BW73" s="28"/>
      <c r="BX73" s="28"/>
      <c r="BY73" s="28"/>
      <c r="BZ73" s="28"/>
      <c r="CA73" s="28"/>
      <c r="CB73" s="28"/>
      <c r="CC73" s="28"/>
      <c r="CD73" s="28"/>
      <c r="CE73" s="28"/>
      <c r="CF73" s="28"/>
      <c r="CG73" s="28"/>
      <c r="CH73" s="28"/>
      <c r="CI73" s="28"/>
      <c r="CJ73" s="28"/>
      <c r="CK73" s="28"/>
      <c r="CL73" s="28"/>
      <c r="CM73" s="28"/>
      <c r="CN73" s="28"/>
      <c r="CO73" s="28"/>
      <c r="CP73" s="28"/>
      <c r="CQ73" s="28"/>
      <c r="CR73" s="28"/>
    </row>
    <row r="74" spans="1:96" ht="30" customHeight="1" x14ac:dyDescent="0.2">
      <c r="B74" s="107"/>
      <c r="C74" s="205"/>
      <c r="D74" s="72"/>
      <c r="E74" s="66" t="s">
        <v>33</v>
      </c>
      <c r="F74" s="198"/>
      <c r="G74" s="208"/>
      <c r="H74" s="98">
        <f>SUM(H72:H73)</f>
        <v>6840.72</v>
      </c>
      <c r="I74" s="143">
        <f>SUM(I72:I73)</f>
        <v>0</v>
      </c>
      <c r="J74" s="98">
        <f>SUM(J72:J73)</f>
        <v>375.35</v>
      </c>
      <c r="K74" s="98">
        <f>SUM(K72:K73)</f>
        <v>375.35</v>
      </c>
      <c r="L74" s="98">
        <f>SUM(L72:L73)</f>
        <v>6465.37</v>
      </c>
      <c r="M74" s="110"/>
    </row>
    <row r="75" spans="1:96" s="33" customFormat="1" ht="30" customHeight="1" x14ac:dyDescent="0.2">
      <c r="A75" s="28"/>
      <c r="B75" s="389" t="s">
        <v>55</v>
      </c>
      <c r="C75" s="390"/>
      <c r="D75" s="391"/>
      <c r="E75" s="391"/>
      <c r="F75" s="391"/>
      <c r="G75" s="391"/>
      <c r="H75" s="391"/>
      <c r="I75" s="391"/>
      <c r="J75" s="391"/>
      <c r="K75" s="391"/>
      <c r="L75" s="391"/>
      <c r="M75" s="392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28"/>
      <c r="BD75" s="28"/>
      <c r="BE75" s="28"/>
      <c r="BF75" s="28"/>
      <c r="BG75" s="28"/>
      <c r="BH75" s="28"/>
      <c r="BI75" s="28"/>
      <c r="BJ75" s="28"/>
      <c r="BK75" s="28"/>
      <c r="BL75" s="28"/>
      <c r="BM75" s="28"/>
      <c r="BN75" s="28"/>
      <c r="BO75" s="28"/>
      <c r="BP75" s="28"/>
      <c r="BQ75" s="28"/>
      <c r="BR75" s="28"/>
      <c r="BS75" s="28"/>
      <c r="BT75" s="28"/>
      <c r="BU75" s="28"/>
      <c r="BV75" s="28"/>
      <c r="BW75" s="28"/>
      <c r="BX75" s="28"/>
      <c r="BY75" s="28"/>
      <c r="BZ75" s="28"/>
      <c r="CA75" s="28"/>
      <c r="CB75" s="28"/>
      <c r="CC75" s="28"/>
      <c r="CD75" s="28"/>
      <c r="CE75" s="28"/>
      <c r="CF75" s="28"/>
      <c r="CG75" s="28"/>
      <c r="CH75" s="28"/>
      <c r="CI75" s="28"/>
      <c r="CJ75" s="28"/>
      <c r="CK75" s="28"/>
      <c r="CL75" s="28"/>
      <c r="CM75" s="28"/>
      <c r="CN75" s="28"/>
      <c r="CO75" s="28"/>
      <c r="CP75" s="28"/>
      <c r="CQ75" s="28"/>
      <c r="CR75" s="28"/>
    </row>
    <row r="76" spans="1:96" ht="30" customHeight="1" x14ac:dyDescent="0.2">
      <c r="B76" s="107">
        <v>38</v>
      </c>
      <c r="C76" s="205" t="s">
        <v>339</v>
      </c>
      <c r="D76" s="99" t="s">
        <v>350</v>
      </c>
      <c r="E76" s="93" t="s">
        <v>51</v>
      </c>
      <c r="F76" s="64">
        <v>15</v>
      </c>
      <c r="G76" s="96">
        <v>278.26650000000001</v>
      </c>
      <c r="H76" s="95">
        <f>ROUND(F76*G76,2)</f>
        <v>4174</v>
      </c>
      <c r="I76" s="142">
        <v>0</v>
      </c>
      <c r="J76" s="96">
        <f>IF(G76&lt;=248.93,0,(IFERROR(IF(ROUND((((H76/F76*30.4)-VLOOKUP((H76/F76*30.4),TARIFA,1))*VLOOKUP((H76/F76*30.4),TARIFA,3)+VLOOKUP((H76/F76*30.4),TARIFA,2)-VLOOKUP((H76/F76*30.4),SUBSIDIO,2))/30.4*F76,2)&gt;0,ROUND((((H76/F76*30.4)-VLOOKUP((H76/F76*30.4),TARIFA,1))*VLOOKUP((H76/F76*30.4),TARIFA,3)+VLOOKUP((H76/F76*30.4),TARIFA,2)-VLOOKUP((H76/F76*30.4),SUBSIDIO,2))/30.4*F76,2),0),0)))</f>
        <v>105.23</v>
      </c>
      <c r="K76" s="96">
        <f>J76</f>
        <v>105.23</v>
      </c>
      <c r="L76" s="96">
        <f>H76+I76-K76</f>
        <v>4068.77</v>
      </c>
      <c r="M76" s="111"/>
    </row>
    <row r="77" spans="1:96" ht="30" customHeight="1" x14ac:dyDescent="0.2">
      <c r="B77" s="107"/>
      <c r="C77" s="205"/>
      <c r="D77" s="73"/>
      <c r="E77" s="66" t="s">
        <v>33</v>
      </c>
      <c r="F77" s="198"/>
      <c r="G77" s="208"/>
      <c r="H77" s="98">
        <f>SUM(H76:H76)</f>
        <v>4174</v>
      </c>
      <c r="I77" s="143">
        <f>SUM(I76:I76)</f>
        <v>0</v>
      </c>
      <c r="J77" s="98">
        <f>SUM(J76:J76)</f>
        <v>105.23</v>
      </c>
      <c r="K77" s="98">
        <f>SUM(K76:K76)</f>
        <v>105.23</v>
      </c>
      <c r="L77" s="98">
        <f>SUM(L76:L76)</f>
        <v>4068.77</v>
      </c>
      <c r="M77" s="110"/>
    </row>
    <row r="78" spans="1:96" s="33" customFormat="1" ht="30" customHeight="1" x14ac:dyDescent="0.2">
      <c r="A78" s="28"/>
      <c r="B78" s="389" t="s">
        <v>50</v>
      </c>
      <c r="C78" s="390"/>
      <c r="D78" s="391"/>
      <c r="E78" s="391"/>
      <c r="F78" s="391"/>
      <c r="G78" s="391"/>
      <c r="H78" s="391"/>
      <c r="I78" s="391"/>
      <c r="J78" s="391"/>
      <c r="K78" s="391"/>
      <c r="L78" s="391"/>
      <c r="M78" s="392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  <c r="BA78" s="28"/>
      <c r="BB78" s="28"/>
      <c r="BC78" s="28"/>
      <c r="BD78" s="28"/>
      <c r="BE78" s="28"/>
      <c r="BF78" s="28"/>
      <c r="BG78" s="28"/>
      <c r="BH78" s="28"/>
      <c r="BI78" s="28"/>
      <c r="BJ78" s="28"/>
      <c r="BK78" s="28"/>
      <c r="BL78" s="28"/>
      <c r="BM78" s="28"/>
      <c r="BN78" s="28"/>
      <c r="BO78" s="28"/>
      <c r="BP78" s="28"/>
      <c r="BQ78" s="28"/>
      <c r="BR78" s="28"/>
      <c r="BS78" s="28"/>
      <c r="BT78" s="28"/>
      <c r="BU78" s="28"/>
      <c r="BV78" s="28"/>
      <c r="BW78" s="28"/>
      <c r="BX78" s="28"/>
      <c r="BY78" s="28"/>
      <c r="BZ78" s="28"/>
      <c r="CA78" s="28"/>
      <c r="CB78" s="28"/>
      <c r="CC78" s="28"/>
      <c r="CD78" s="28"/>
      <c r="CE78" s="28"/>
      <c r="CF78" s="28"/>
      <c r="CG78" s="28"/>
      <c r="CH78" s="28"/>
      <c r="CI78" s="28"/>
      <c r="CJ78" s="28"/>
      <c r="CK78" s="28"/>
      <c r="CL78" s="28"/>
      <c r="CM78" s="28"/>
      <c r="CN78" s="28"/>
      <c r="CO78" s="28"/>
      <c r="CP78" s="28"/>
      <c r="CQ78" s="28"/>
      <c r="CR78" s="28"/>
    </row>
    <row r="79" spans="1:96" s="78" customFormat="1" ht="30" customHeight="1" x14ac:dyDescent="0.2">
      <c r="A79" s="28"/>
      <c r="B79" s="107">
        <v>39</v>
      </c>
      <c r="C79" s="205"/>
      <c r="D79" s="99" t="s">
        <v>257</v>
      </c>
      <c r="E79" s="93" t="s">
        <v>51</v>
      </c>
      <c r="F79" s="64">
        <v>15</v>
      </c>
      <c r="G79" s="96">
        <v>278.26650000000001</v>
      </c>
      <c r="H79" s="95">
        <f>ROUND(F79*G79,2)</f>
        <v>4174</v>
      </c>
      <c r="I79" s="142">
        <v>0</v>
      </c>
      <c r="J79" s="96">
        <f>IF(G79&lt;=248.93,0,(IFERROR(IF(ROUND((((H79/F79*30.4)-VLOOKUP((H79/F79*30.4),TARIFA,1))*VLOOKUP((H79/F79*30.4),TARIFA,3)+VLOOKUP((H79/F79*30.4),TARIFA,2)-VLOOKUP((H79/F79*30.4),SUBSIDIO,2))/30.4*F79,2)&gt;0,ROUND((((H79/F79*30.4)-VLOOKUP((H79/F79*30.4),TARIFA,1))*VLOOKUP((H79/F79*30.4),TARIFA,3)+VLOOKUP((H79/F79*30.4),TARIFA,2)-VLOOKUP((H79/F79*30.4),SUBSIDIO,2))/30.4*F79,2),0),0)))</f>
        <v>105.23</v>
      </c>
      <c r="K79" s="96">
        <f>J79</f>
        <v>105.23</v>
      </c>
      <c r="L79" s="96">
        <f>H79+I79-K79</f>
        <v>4068.77</v>
      </c>
      <c r="M79" s="111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8"/>
      <c r="BF79" s="28"/>
      <c r="BG79" s="28"/>
      <c r="BH79" s="28"/>
      <c r="BI79" s="28"/>
      <c r="BJ79" s="28"/>
      <c r="BK79" s="28"/>
      <c r="BL79" s="28"/>
      <c r="BM79" s="28"/>
      <c r="BN79" s="28"/>
      <c r="BO79" s="28"/>
      <c r="BP79" s="28"/>
      <c r="BQ79" s="28"/>
      <c r="BR79" s="28"/>
      <c r="BS79" s="28"/>
      <c r="BT79" s="28"/>
      <c r="BU79" s="28"/>
      <c r="BV79" s="28"/>
      <c r="BW79" s="28"/>
      <c r="BX79" s="28"/>
      <c r="BY79" s="28"/>
      <c r="BZ79" s="28"/>
      <c r="CA79" s="28"/>
      <c r="CB79" s="28"/>
      <c r="CC79" s="28"/>
      <c r="CD79" s="28"/>
      <c r="CE79" s="28"/>
      <c r="CF79" s="28"/>
      <c r="CG79" s="28"/>
      <c r="CH79" s="28"/>
      <c r="CI79" s="28"/>
      <c r="CJ79" s="28"/>
      <c r="CK79" s="28"/>
      <c r="CL79" s="28"/>
      <c r="CM79" s="28"/>
      <c r="CN79" s="28"/>
      <c r="CO79" s="28"/>
      <c r="CP79" s="28"/>
      <c r="CQ79" s="28"/>
      <c r="CR79" s="28"/>
    </row>
    <row r="80" spans="1:96" ht="30" customHeight="1" x14ac:dyDescent="0.2">
      <c r="B80" s="107"/>
      <c r="C80" s="205"/>
      <c r="D80" s="73"/>
      <c r="E80" s="66" t="s">
        <v>33</v>
      </c>
      <c r="F80" s="198"/>
      <c r="G80" s="208"/>
      <c r="H80" s="98">
        <f>SUM(H79:H79)</f>
        <v>4174</v>
      </c>
      <c r="I80" s="143">
        <f>SUM(I79:I79)</f>
        <v>0</v>
      </c>
      <c r="J80" s="98">
        <f>SUM(J79:J79)</f>
        <v>105.23</v>
      </c>
      <c r="K80" s="98">
        <f>SUM(K79:K79)</f>
        <v>105.23</v>
      </c>
      <c r="L80" s="98">
        <f>SUM(L79:L79)</f>
        <v>4068.77</v>
      </c>
      <c r="M80" s="110"/>
    </row>
    <row r="81" spans="1:96" ht="30" customHeight="1" x14ac:dyDescent="0.2">
      <c r="B81" s="389" t="s">
        <v>57</v>
      </c>
      <c r="C81" s="390"/>
      <c r="D81" s="391"/>
      <c r="E81" s="391"/>
      <c r="F81" s="391"/>
      <c r="G81" s="391"/>
      <c r="H81" s="391"/>
      <c r="I81" s="391"/>
      <c r="J81" s="391"/>
      <c r="K81" s="391"/>
      <c r="L81" s="391"/>
      <c r="M81" s="392"/>
    </row>
    <row r="82" spans="1:96" ht="30" customHeight="1" x14ac:dyDescent="0.2">
      <c r="B82" s="107">
        <v>40</v>
      </c>
      <c r="C82" s="205"/>
      <c r="D82" s="99" t="s">
        <v>235</v>
      </c>
      <c r="E82" s="93" t="s">
        <v>58</v>
      </c>
      <c r="F82" s="64">
        <v>15</v>
      </c>
      <c r="G82" s="96">
        <v>214</v>
      </c>
      <c r="H82" s="95">
        <f>ROUND(F82*G82,2)</f>
        <v>3210</v>
      </c>
      <c r="I82" s="142">
        <v>0</v>
      </c>
      <c r="J82" s="144">
        <f>IF(G82&lt;=248.93,0,(IFERROR(IF(ROUND((((H82/F82*30.4)-VLOOKUP((H82/F82*30.4),TARIFA,1))*VLOOKUP((H82/F82*30.4),TARIFA,3)+VLOOKUP((H82/F82*30.4),TARIFA,2)-VLOOKUP((H82/F82*30.4),SUBSIDIO,2))/30.4*F82,2)&gt;0,ROUND((((H82/F82*30.4)-VLOOKUP((H82/F82*30.4),TARIFA,1))*VLOOKUP((H82/F82*30.4),TARIFA,3)+VLOOKUP((H82/F82*30.4),TARIFA,2)-VLOOKUP((H82/F82*30.4),SUBSIDIO,2))/30.4*F82,2),0),0)))</f>
        <v>0</v>
      </c>
      <c r="K82" s="144">
        <f>J82</f>
        <v>0</v>
      </c>
      <c r="L82" s="96">
        <f>H82+I82-K82</f>
        <v>3210</v>
      </c>
      <c r="M82" s="111"/>
    </row>
    <row r="83" spans="1:96" s="78" customFormat="1" ht="30" customHeight="1" x14ac:dyDescent="0.2">
      <c r="A83" s="28"/>
      <c r="B83" s="107">
        <v>41</v>
      </c>
      <c r="C83" s="205" t="s">
        <v>339</v>
      </c>
      <c r="D83" s="99" t="s">
        <v>234</v>
      </c>
      <c r="E83" s="93" t="s">
        <v>68</v>
      </c>
      <c r="F83" s="64">
        <v>15</v>
      </c>
      <c r="G83" s="96">
        <v>229.733</v>
      </c>
      <c r="H83" s="95">
        <f>ROUND(F83*G83,2)</f>
        <v>3446</v>
      </c>
      <c r="I83" s="142">
        <v>0</v>
      </c>
      <c r="J83" s="144">
        <f>IF(G83&lt;=248.93,0,(IFERROR(IF(ROUND((((H83/F83*30.4)-VLOOKUP((H83/F83*30.4),TARIFA,1))*VLOOKUP((H83/F83*30.4),TARIFA,3)+VLOOKUP((H83/F83*30.4),TARIFA,2)-VLOOKUP((H83/F83*30.4),SUBSIDIO,2))/30.4*F83,2)&gt;0,ROUND((((H83/F83*30.4)-VLOOKUP((H83/F83*30.4),TARIFA,1))*VLOOKUP((H83/F83*30.4),TARIFA,3)+VLOOKUP((H83/F83*30.4),TARIFA,2)-VLOOKUP((H83/F83*30.4),SUBSIDIO,2))/30.4*F83,2),0),0)))</f>
        <v>0</v>
      </c>
      <c r="K83" s="144">
        <f>J83</f>
        <v>0</v>
      </c>
      <c r="L83" s="96">
        <f>H83+I83-K83</f>
        <v>3446</v>
      </c>
      <c r="M83" s="111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28"/>
      <c r="BD83" s="28"/>
      <c r="BE83" s="28"/>
      <c r="BF83" s="28"/>
      <c r="BG83" s="28"/>
      <c r="BH83" s="28"/>
      <c r="BI83" s="28"/>
      <c r="BJ83" s="28"/>
      <c r="BK83" s="28"/>
      <c r="BL83" s="28"/>
      <c r="BM83" s="28"/>
      <c r="BN83" s="28"/>
      <c r="BO83" s="28"/>
      <c r="BP83" s="28"/>
      <c r="BQ83" s="28"/>
      <c r="BR83" s="28"/>
      <c r="BS83" s="28"/>
      <c r="BT83" s="28"/>
      <c r="BU83" s="28"/>
      <c r="BV83" s="28"/>
      <c r="BW83" s="28"/>
      <c r="BX83" s="28"/>
      <c r="BY83" s="28"/>
      <c r="BZ83" s="28"/>
      <c r="CA83" s="28"/>
      <c r="CB83" s="28"/>
      <c r="CC83" s="28"/>
      <c r="CD83" s="28"/>
      <c r="CE83" s="28"/>
      <c r="CF83" s="28"/>
      <c r="CG83" s="28"/>
      <c r="CH83" s="28"/>
      <c r="CI83" s="28"/>
      <c r="CJ83" s="28"/>
      <c r="CK83" s="28"/>
      <c r="CL83" s="28"/>
      <c r="CM83" s="28"/>
      <c r="CN83" s="28"/>
      <c r="CO83" s="28"/>
      <c r="CP83" s="28"/>
      <c r="CQ83" s="28"/>
      <c r="CR83" s="28"/>
    </row>
    <row r="84" spans="1:96" ht="30" customHeight="1" x14ac:dyDescent="0.2">
      <c r="B84" s="107"/>
      <c r="C84" s="205"/>
      <c r="D84" s="72"/>
      <c r="E84" s="66" t="s">
        <v>33</v>
      </c>
      <c r="F84" s="66"/>
      <c r="G84" s="208"/>
      <c r="H84" s="98">
        <f>SUM(H82:H83)</f>
        <v>6656</v>
      </c>
      <c r="I84" s="143">
        <f>SUM(I82:I83)</f>
        <v>0</v>
      </c>
      <c r="J84" s="143">
        <f>SUM(J82:J83)</f>
        <v>0</v>
      </c>
      <c r="K84" s="143">
        <f>SUM(K82:K83)</f>
        <v>0</v>
      </c>
      <c r="L84" s="98">
        <f>SUM(L82:L83)</f>
        <v>6656</v>
      </c>
      <c r="M84" s="110"/>
    </row>
    <row r="85" spans="1:96" ht="30" customHeight="1" x14ac:dyDescent="0.2">
      <c r="B85" s="383" t="s">
        <v>59</v>
      </c>
      <c r="C85" s="384"/>
      <c r="D85" s="384"/>
      <c r="E85" s="384"/>
      <c r="F85" s="384"/>
      <c r="G85" s="384"/>
      <c r="H85" s="384"/>
      <c r="I85" s="384"/>
      <c r="J85" s="384"/>
      <c r="K85" s="384"/>
      <c r="L85" s="384"/>
      <c r="M85" s="385"/>
    </row>
    <row r="86" spans="1:96" s="5" customFormat="1" ht="30" customHeight="1" x14ac:dyDescent="0.2">
      <c r="B86" s="107">
        <v>42</v>
      </c>
      <c r="C86" s="205" t="s">
        <v>339</v>
      </c>
      <c r="D86" s="97" t="s">
        <v>449</v>
      </c>
      <c r="E86" s="93" t="s">
        <v>35</v>
      </c>
      <c r="F86" s="64">
        <v>15</v>
      </c>
      <c r="G86" s="96">
        <v>598.53300000000002</v>
      </c>
      <c r="H86" s="95">
        <f>ROUND(F86*G86,2)</f>
        <v>8978</v>
      </c>
      <c r="I86" s="142">
        <v>0</v>
      </c>
      <c r="J86" s="96">
        <f>IF(G86&lt;=248.93,0,(IFERROR(IF(ROUND((((H86/F86*30.4)-VLOOKUP((H86/F86*30.4),TARIFA,1))*VLOOKUP((H86/F86*30.4),TARIFA,3)+VLOOKUP((H86/F86*30.4),TARIFA,2)-VLOOKUP((H86/F86*30.4),SUBSIDIO,2))/30.4*F86,2)&gt;0,ROUND((((H86/F86*30.4)-VLOOKUP((H86/F86*30.4),TARIFA,1))*VLOOKUP((H86/F86*30.4),TARIFA,3)+VLOOKUP((H86/F86*30.4),TARIFA,2)-VLOOKUP((H86/F86*30.4),SUBSIDIO,2))/30.4*F86,2),0),0)))</f>
        <v>1094.68</v>
      </c>
      <c r="K86" s="96">
        <f>J86</f>
        <v>1094.68</v>
      </c>
      <c r="L86" s="96">
        <f>H86+I86-K86</f>
        <v>7883.32</v>
      </c>
      <c r="M86" s="111"/>
    </row>
    <row r="87" spans="1:96" s="78" customFormat="1" ht="30" customHeight="1" x14ac:dyDescent="0.2">
      <c r="A87" s="28"/>
      <c r="B87" s="107">
        <v>43</v>
      </c>
      <c r="C87" s="205" t="s">
        <v>339</v>
      </c>
      <c r="D87" s="99" t="s">
        <v>233</v>
      </c>
      <c r="E87" s="93" t="s">
        <v>42</v>
      </c>
      <c r="F87" s="64">
        <v>15</v>
      </c>
      <c r="G87" s="96">
        <v>174.02600000000001</v>
      </c>
      <c r="H87" s="95">
        <f>ROUND(F87*G87,2)</f>
        <v>2610.39</v>
      </c>
      <c r="I87" s="142">
        <v>0</v>
      </c>
      <c r="J87" s="144">
        <f>IF(G87&lt;=248.93,0,(IFERROR(IF(ROUND((((H87/F87*30.4)-VLOOKUP((H87/F87*30.4),TARIFA,1))*VLOOKUP((H87/F87*30.4),TARIFA,3)+VLOOKUP((H87/F87*30.4),TARIFA,2)-VLOOKUP((H87/F87*30.4),SUBSIDIO,2))/30.4*F87,2)&gt;0,ROUND((((H87/F87*30.4)-VLOOKUP((H87/F87*30.4),TARIFA,1))*VLOOKUP((H87/F87*30.4),TARIFA,3)+VLOOKUP((H87/F87*30.4),TARIFA,2)-VLOOKUP((H87/F87*30.4),SUBSIDIO,2))/30.4*F87,2),0),0)))</f>
        <v>0</v>
      </c>
      <c r="K87" s="144">
        <v>0</v>
      </c>
      <c r="L87" s="96">
        <f>H87+I87-K87</f>
        <v>2610.39</v>
      </c>
      <c r="M87" s="111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28"/>
      <c r="BD87" s="28"/>
      <c r="BE87" s="28"/>
      <c r="BF87" s="28"/>
      <c r="BG87" s="28"/>
      <c r="BH87" s="28"/>
      <c r="BI87" s="28"/>
      <c r="BJ87" s="28"/>
      <c r="BK87" s="28"/>
      <c r="BL87" s="28"/>
      <c r="BM87" s="28"/>
      <c r="BN87" s="28"/>
      <c r="BO87" s="28"/>
      <c r="BP87" s="28"/>
      <c r="BQ87" s="28"/>
      <c r="BR87" s="28"/>
      <c r="BS87" s="28"/>
      <c r="BT87" s="28"/>
      <c r="BU87" s="28"/>
      <c r="BV87" s="28"/>
      <c r="BW87" s="28"/>
      <c r="BX87" s="28"/>
      <c r="BY87" s="28"/>
      <c r="BZ87" s="28"/>
      <c r="CA87" s="28"/>
      <c r="CB87" s="28"/>
      <c r="CC87" s="28"/>
      <c r="CD87" s="28"/>
      <c r="CE87" s="28"/>
      <c r="CF87" s="28"/>
      <c r="CG87" s="28"/>
      <c r="CH87" s="28"/>
      <c r="CI87" s="28"/>
      <c r="CJ87" s="28"/>
      <c r="CK87" s="28"/>
      <c r="CL87" s="28"/>
      <c r="CM87" s="28"/>
      <c r="CN87" s="28"/>
      <c r="CO87" s="28"/>
      <c r="CP87" s="28"/>
      <c r="CQ87" s="28"/>
      <c r="CR87" s="28"/>
    </row>
    <row r="88" spans="1:96" ht="30" customHeight="1" x14ac:dyDescent="0.2">
      <c r="B88" s="107"/>
      <c r="C88" s="205"/>
      <c r="D88" s="72"/>
      <c r="E88" s="66" t="s">
        <v>33</v>
      </c>
      <c r="F88" s="198"/>
      <c r="G88" s="208"/>
      <c r="H88" s="98">
        <f>SUM(H86:H87)</f>
        <v>11588.39</v>
      </c>
      <c r="I88" s="143">
        <f>SUM(I86:I87)</f>
        <v>0</v>
      </c>
      <c r="J88" s="98">
        <f>SUM(J86:J87)</f>
        <v>1094.68</v>
      </c>
      <c r="K88" s="98">
        <f>SUM(K86:K87)</f>
        <v>1094.68</v>
      </c>
      <c r="L88" s="98">
        <f>SUM(L86:L87)</f>
        <v>10493.71</v>
      </c>
      <c r="M88" s="110"/>
    </row>
    <row r="89" spans="1:96" ht="30" customHeight="1" x14ac:dyDescent="0.2">
      <c r="B89" s="389" t="s">
        <v>75</v>
      </c>
      <c r="C89" s="390"/>
      <c r="D89" s="391"/>
      <c r="E89" s="391"/>
      <c r="F89" s="391"/>
      <c r="G89" s="391"/>
      <c r="H89" s="391"/>
      <c r="I89" s="391"/>
      <c r="J89" s="391"/>
      <c r="K89" s="391"/>
      <c r="L89" s="391"/>
      <c r="M89" s="392"/>
    </row>
    <row r="90" spans="1:96" ht="30" customHeight="1" x14ac:dyDescent="0.2">
      <c r="B90" s="107">
        <v>44</v>
      </c>
      <c r="C90" s="205"/>
      <c r="D90" s="99" t="s">
        <v>232</v>
      </c>
      <c r="E90" s="93" t="s">
        <v>35</v>
      </c>
      <c r="F90" s="64">
        <v>15</v>
      </c>
      <c r="G90" s="96">
        <v>315.13299999999998</v>
      </c>
      <c r="H90" s="95">
        <f>ROUND(F90*G90,2)</f>
        <v>4727</v>
      </c>
      <c r="I90" s="142">
        <v>0</v>
      </c>
      <c r="J90" s="96">
        <f>IF(G90&lt;=248.93,0,(IFERROR(IF(ROUND((((H90/F90*30.4)-VLOOKUP((H90/F90*30.4),TARIFA,1))*VLOOKUP((H90/F90*30.4),TARIFA,3)+VLOOKUP((H90/F90*30.4),TARIFA,2)-VLOOKUP((H90/F90*30.4),SUBSIDIO,2))/30.4*F90,2)&gt;0,ROUND((((H90/F90*30.4)-VLOOKUP((H90/F90*30.4),TARIFA,1))*VLOOKUP((H90/F90*30.4),TARIFA,3)+VLOOKUP((H90/F90*30.4),TARIFA,2)-VLOOKUP((H90/F90*30.4),SUBSIDIO,2))/30.4*F90,2),0),0)))</f>
        <v>357.83</v>
      </c>
      <c r="K90" s="96">
        <f>J90</f>
        <v>357.83</v>
      </c>
      <c r="L90" s="96">
        <f>H90+I90-K90</f>
        <v>4369.17</v>
      </c>
      <c r="M90" s="111"/>
    </row>
    <row r="91" spans="1:96" ht="30" customHeight="1" x14ac:dyDescent="0.2">
      <c r="B91" s="107"/>
      <c r="C91" s="205"/>
      <c r="D91" s="72"/>
      <c r="E91" s="66" t="s">
        <v>33</v>
      </c>
      <c r="F91" s="198"/>
      <c r="G91" s="208"/>
      <c r="H91" s="98">
        <f>SUM(H90:H90)</f>
        <v>4727</v>
      </c>
      <c r="I91" s="143">
        <f>SUM(I90:I90)</f>
        <v>0</v>
      </c>
      <c r="J91" s="98">
        <f>SUM(J90:J90)</f>
        <v>357.83</v>
      </c>
      <c r="K91" s="98">
        <f>SUM(K90:K90)</f>
        <v>357.83</v>
      </c>
      <c r="L91" s="98">
        <f>SUM(L90:L90)</f>
        <v>4369.17</v>
      </c>
      <c r="M91" s="110"/>
    </row>
    <row r="92" spans="1:96" ht="30" customHeight="1" x14ac:dyDescent="0.2">
      <c r="B92" s="389" t="s">
        <v>84</v>
      </c>
      <c r="C92" s="390"/>
      <c r="D92" s="391"/>
      <c r="E92" s="391"/>
      <c r="F92" s="391"/>
      <c r="G92" s="391"/>
      <c r="H92" s="391"/>
      <c r="I92" s="391"/>
      <c r="J92" s="391"/>
      <c r="K92" s="391"/>
      <c r="L92" s="391"/>
      <c r="M92" s="392"/>
    </row>
    <row r="93" spans="1:96" s="78" customFormat="1" ht="30" customHeight="1" x14ac:dyDescent="0.2">
      <c r="A93" s="28"/>
      <c r="B93" s="107">
        <v>45</v>
      </c>
      <c r="C93" s="205" t="s">
        <v>339</v>
      </c>
      <c r="D93" s="99" t="s">
        <v>231</v>
      </c>
      <c r="E93" s="93" t="s">
        <v>35</v>
      </c>
      <c r="F93" s="64">
        <v>15</v>
      </c>
      <c r="G93" s="96">
        <v>466.33300000000003</v>
      </c>
      <c r="H93" s="95">
        <f>ROUND(F93*G93,2)</f>
        <v>6995</v>
      </c>
      <c r="I93" s="142">
        <v>0</v>
      </c>
      <c r="J93" s="96">
        <f>IF(G93&lt;=248.93,0,(IFERROR(IF(ROUND((((H93/F93*30.4)-VLOOKUP((H93/F93*30.4),TARIFA,1))*VLOOKUP((H93/F93*30.4),TARIFA,3)+VLOOKUP((H93/F93*30.4),TARIFA,2)-VLOOKUP((H93/F93*30.4),SUBSIDIO,2))/30.4*F93,2)&gt;0,ROUND((((H93/F93*30.4)-VLOOKUP((H93/F93*30.4),TARIFA,1))*VLOOKUP((H93/F93*30.4),TARIFA,3)+VLOOKUP((H93/F93*30.4),TARIFA,2)-VLOOKUP((H93/F93*30.4),SUBSIDIO,2))/30.4*F93,2),0),0)))</f>
        <v>693.36</v>
      </c>
      <c r="K93" s="96">
        <f>J93</f>
        <v>693.36</v>
      </c>
      <c r="L93" s="96">
        <f>H93+I93-K93</f>
        <v>6301.64</v>
      </c>
      <c r="M93" s="111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  <c r="BA93" s="28"/>
      <c r="BB93" s="28"/>
      <c r="BC93" s="28"/>
      <c r="BD93" s="28"/>
      <c r="BE93" s="28"/>
      <c r="BF93" s="28"/>
      <c r="BG93" s="28"/>
      <c r="BH93" s="28"/>
      <c r="BI93" s="28"/>
      <c r="BJ93" s="28"/>
      <c r="BK93" s="28"/>
      <c r="BL93" s="28"/>
      <c r="BM93" s="28"/>
      <c r="BN93" s="28"/>
      <c r="BO93" s="28"/>
      <c r="BP93" s="28"/>
      <c r="BQ93" s="28"/>
      <c r="BR93" s="28"/>
      <c r="BS93" s="28"/>
      <c r="BT93" s="28"/>
      <c r="BU93" s="28"/>
      <c r="BV93" s="28"/>
      <c r="BW93" s="28"/>
      <c r="BX93" s="28"/>
      <c r="BY93" s="28"/>
      <c r="BZ93" s="28"/>
      <c r="CA93" s="28"/>
      <c r="CB93" s="28"/>
      <c r="CC93" s="28"/>
      <c r="CD93" s="28"/>
      <c r="CE93" s="28"/>
      <c r="CF93" s="28"/>
      <c r="CG93" s="28"/>
      <c r="CH93" s="28"/>
      <c r="CI93" s="28"/>
      <c r="CJ93" s="28"/>
      <c r="CK93" s="28"/>
      <c r="CL93" s="28"/>
      <c r="CM93" s="28"/>
      <c r="CN93" s="28"/>
      <c r="CO93" s="28"/>
      <c r="CP93" s="28"/>
      <c r="CQ93" s="28"/>
      <c r="CR93" s="28"/>
    </row>
    <row r="94" spans="1:96" ht="30" customHeight="1" x14ac:dyDescent="0.2">
      <c r="B94" s="107"/>
      <c r="C94" s="205"/>
      <c r="D94" s="72"/>
      <c r="E94" s="66" t="s">
        <v>33</v>
      </c>
      <c r="F94" s="198"/>
      <c r="G94" s="208"/>
      <c r="H94" s="98">
        <f>SUM(H93:H93)</f>
        <v>6995</v>
      </c>
      <c r="I94" s="143">
        <f t="shared" ref="I94:L94" si="21">SUM(I93:I93)</f>
        <v>0</v>
      </c>
      <c r="J94" s="98">
        <f t="shared" si="21"/>
        <v>693.36</v>
      </c>
      <c r="K94" s="98">
        <f t="shared" si="21"/>
        <v>693.36</v>
      </c>
      <c r="L94" s="98">
        <f t="shared" si="21"/>
        <v>6301.64</v>
      </c>
      <c r="M94" s="110"/>
    </row>
    <row r="95" spans="1:96" ht="14.25" customHeight="1" x14ac:dyDescent="0.2">
      <c r="B95" s="398"/>
      <c r="C95" s="399"/>
      <c r="D95" s="399"/>
      <c r="E95" s="399"/>
      <c r="F95" s="399"/>
      <c r="G95" s="399"/>
      <c r="H95" s="399"/>
      <c r="I95" s="399"/>
      <c r="J95" s="399"/>
      <c r="K95" s="399"/>
      <c r="L95" s="399"/>
      <c r="M95" s="400"/>
    </row>
    <row r="96" spans="1:96" ht="20.25" customHeight="1" x14ac:dyDescent="0.2">
      <c r="B96" s="395" t="s">
        <v>17</v>
      </c>
      <c r="C96" s="396"/>
      <c r="D96" s="397"/>
      <c r="E96" s="397"/>
      <c r="F96" s="397"/>
      <c r="G96" s="397"/>
      <c r="H96" s="98">
        <f t="shared" ref="H96:M96" si="22">+H14+H17+H21+H27+H31+H36+H39+H43+H47+H50+H54+H62+H65+H70+H74+H77+H84+H88+H91+H94+H80</f>
        <v>215800.82999999996</v>
      </c>
      <c r="I96" s="143">
        <f t="shared" si="22"/>
        <v>0</v>
      </c>
      <c r="J96" s="98">
        <f t="shared" si="22"/>
        <v>15670.510000000002</v>
      </c>
      <c r="K96" s="98">
        <f t="shared" si="22"/>
        <v>15670.510000000002</v>
      </c>
      <c r="L96" s="98">
        <f t="shared" si="22"/>
        <v>200130.32</v>
      </c>
      <c r="M96" s="98">
        <f t="shared" si="22"/>
        <v>0</v>
      </c>
    </row>
    <row r="97" spans="2:13" ht="20.100000000000001" customHeight="1" x14ac:dyDescent="0.2">
      <c r="B97" s="114"/>
      <c r="C97" s="112"/>
      <c r="D97" s="112"/>
      <c r="E97" s="112"/>
      <c r="F97" s="112"/>
      <c r="G97" s="112"/>
      <c r="H97" s="113"/>
      <c r="I97" s="113"/>
      <c r="J97" s="113"/>
      <c r="K97" s="113"/>
      <c r="L97" s="113"/>
      <c r="M97" s="115"/>
    </row>
    <row r="98" spans="2:13" ht="20.100000000000001" customHeight="1" x14ac:dyDescent="0.2">
      <c r="B98" s="114"/>
      <c r="C98" s="112"/>
      <c r="D98" s="112"/>
      <c r="E98" s="112"/>
      <c r="F98" s="112"/>
      <c r="G98" s="112"/>
      <c r="H98" s="113"/>
      <c r="I98" s="113"/>
      <c r="J98" s="113"/>
      <c r="K98" s="113"/>
      <c r="L98" s="113"/>
      <c r="M98" s="115"/>
    </row>
    <row r="99" spans="2:13" ht="20.100000000000001" customHeight="1" x14ac:dyDescent="0.2">
      <c r="B99" s="114"/>
      <c r="C99" s="112"/>
      <c r="D99" s="112"/>
      <c r="E99" s="112"/>
      <c r="F99" s="112"/>
      <c r="G99" s="112"/>
      <c r="H99" s="113"/>
      <c r="I99" s="113"/>
      <c r="J99" s="113"/>
      <c r="K99" s="113"/>
      <c r="L99" s="113"/>
      <c r="M99" s="115"/>
    </row>
    <row r="100" spans="2:13" ht="20.100000000000001" customHeight="1" x14ac:dyDescent="0.2">
      <c r="B100" s="114"/>
      <c r="C100" s="112"/>
      <c r="D100" s="112"/>
      <c r="E100" s="112"/>
      <c r="F100" s="112"/>
      <c r="G100" s="112"/>
      <c r="H100" s="113"/>
      <c r="I100" s="113"/>
      <c r="J100" s="113"/>
      <c r="K100" s="113"/>
      <c r="L100" s="113"/>
      <c r="M100" s="115"/>
    </row>
    <row r="101" spans="2:13" ht="13.5" x14ac:dyDescent="0.2">
      <c r="B101" s="89"/>
      <c r="C101" s="5"/>
      <c r="D101" s="377" t="s">
        <v>482</v>
      </c>
      <c r="E101" s="377"/>
      <c r="F101" s="5"/>
      <c r="G101" s="5"/>
      <c r="H101" s="32"/>
      <c r="K101" s="88" t="s">
        <v>281</v>
      </c>
      <c r="L101" s="88"/>
      <c r="M101" s="87"/>
    </row>
    <row r="102" spans="2:13" ht="13.5" thickBot="1" x14ac:dyDescent="0.25">
      <c r="B102" s="90"/>
      <c r="C102" s="91"/>
      <c r="D102" s="393" t="s">
        <v>280</v>
      </c>
      <c r="E102" s="393"/>
      <c r="F102" s="91"/>
      <c r="G102" s="91"/>
      <c r="H102" s="92"/>
      <c r="I102" s="125"/>
      <c r="J102" s="125"/>
      <c r="K102" s="393" t="s">
        <v>282</v>
      </c>
      <c r="L102" s="393"/>
      <c r="M102" s="394"/>
    </row>
    <row r="103" spans="2:13" x14ac:dyDescent="0.2">
      <c r="M103" s="24"/>
    </row>
    <row r="105" spans="2:13" x14ac:dyDescent="0.2">
      <c r="K105" s="25" t="s">
        <v>90</v>
      </c>
      <c r="L105" s="145">
        <f>+L10+L33+L35+L42+L45+L53+L59+L60+L76+L83+L86+L87+L93</f>
        <v>53630.77</v>
      </c>
      <c r="M105" s="264"/>
    </row>
    <row r="106" spans="2:13" x14ac:dyDescent="0.2">
      <c r="K106" s="25" t="s">
        <v>91</v>
      </c>
      <c r="L106" s="145">
        <f>L9+L11+L13+L16+L19+L20+L23+L24+L25+L26+L34+L38+L41+L46+L49+L56+L57+L58+L61+L64+L67+L68+L69+L72+L73+L79+L82+L90+L12</f>
        <v>135299.25999999998</v>
      </c>
    </row>
    <row r="107" spans="2:13" x14ac:dyDescent="0.2">
      <c r="E107" s="35" t="s">
        <v>336</v>
      </c>
      <c r="K107" s="25" t="s">
        <v>481</v>
      </c>
      <c r="L107" s="145">
        <f>L29+L30+L52</f>
        <v>11200.289999999999</v>
      </c>
    </row>
    <row r="108" spans="2:13" x14ac:dyDescent="0.2">
      <c r="L108" s="145">
        <f>SUM(L105:L107)</f>
        <v>200130.31999999998</v>
      </c>
    </row>
    <row r="109" spans="2:13" x14ac:dyDescent="0.2">
      <c r="K109" s="25" t="s">
        <v>289</v>
      </c>
      <c r="L109" s="146">
        <f>L96-L108</f>
        <v>0</v>
      </c>
    </row>
  </sheetData>
  <mergeCells count="29">
    <mergeCell ref="B78:M78"/>
    <mergeCell ref="B75:M75"/>
    <mergeCell ref="B81:M81"/>
    <mergeCell ref="B48:M48"/>
    <mergeCell ref="B66:M66"/>
    <mergeCell ref="B55:M55"/>
    <mergeCell ref="B85:M85"/>
    <mergeCell ref="B71:M71"/>
    <mergeCell ref="B51:M51"/>
    <mergeCell ref="B63:M63"/>
    <mergeCell ref="D102:E102"/>
    <mergeCell ref="K102:M102"/>
    <mergeCell ref="B96:G96"/>
    <mergeCell ref="B92:M92"/>
    <mergeCell ref="B89:M89"/>
    <mergeCell ref="B95:M95"/>
    <mergeCell ref="D101:E101"/>
    <mergeCell ref="B15:M15"/>
    <mergeCell ref="B18:M18"/>
    <mergeCell ref="B22:M22"/>
    <mergeCell ref="B44:M44"/>
    <mergeCell ref="B32:M32"/>
    <mergeCell ref="B37:M37"/>
    <mergeCell ref="B28:M28"/>
    <mergeCell ref="B40:M40"/>
    <mergeCell ref="E2:J2"/>
    <mergeCell ref="E5:J5"/>
    <mergeCell ref="K5:M5"/>
    <mergeCell ref="D7:I7"/>
  </mergeCells>
  <pageMargins left="0.25" right="0.25" top="0.75" bottom="0.75" header="0.3" footer="0.3"/>
  <pageSetup scale="79" fitToHeight="0" orientation="landscape" horizontalDpi="4294967293" r:id="rId1"/>
  <rowBreaks count="1" manualBreakCount="1">
    <brk id="77" min="1" max="1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60"/>
  <sheetViews>
    <sheetView showGridLines="0" topLeftCell="A76" zoomScale="80" zoomScaleNormal="80" workbookViewId="0">
      <selection activeCell="F76" sqref="F1:F1048576"/>
    </sheetView>
  </sheetViews>
  <sheetFormatPr baseColWidth="10" defaultColWidth="11.42578125" defaultRowHeight="18" x14ac:dyDescent="0.2"/>
  <cols>
    <col min="1" max="1" width="4.5703125" style="28" customWidth="1"/>
    <col min="2" max="2" width="4.5703125" style="4" customWidth="1"/>
    <col min="3" max="3" width="5.28515625" style="4" customWidth="1"/>
    <col min="4" max="4" width="38.5703125" style="80" customWidth="1"/>
    <col min="5" max="5" width="20.140625" style="76" bestFit="1" customWidth="1"/>
    <col min="6" max="6" width="6.5703125" style="25" customWidth="1"/>
    <col min="7" max="7" width="9.42578125" style="25" bestFit="1" customWidth="1"/>
    <col min="8" max="8" width="13.28515625" style="25" customWidth="1"/>
    <col min="9" max="9" width="11.28515625" style="25" bestFit="1" customWidth="1"/>
    <col min="10" max="10" width="11.28515625" style="25" customWidth="1"/>
    <col min="11" max="12" width="12.7109375" style="25" bestFit="1" customWidth="1"/>
    <col min="13" max="13" width="27.85546875" style="25" customWidth="1"/>
    <col min="14" max="16384" width="11.42578125" style="28"/>
  </cols>
  <sheetData>
    <row r="1" spans="1:14" ht="14.25" x14ac:dyDescent="0.2">
      <c r="A1" s="28">
        <v>0</v>
      </c>
      <c r="B1" s="126"/>
      <c r="C1" s="202"/>
      <c r="D1" s="127"/>
      <c r="E1" s="128"/>
      <c r="F1" s="129"/>
      <c r="G1" s="129"/>
      <c r="H1" s="129"/>
      <c r="I1" s="129"/>
      <c r="J1" s="265"/>
      <c r="K1" s="129"/>
      <c r="L1" s="129"/>
      <c r="M1" s="130"/>
    </row>
    <row r="2" spans="1:14" ht="24" customHeight="1" x14ac:dyDescent="0.2">
      <c r="B2" s="131"/>
      <c r="C2" s="203"/>
      <c r="D2" s="75"/>
      <c r="E2" s="378" t="s">
        <v>286</v>
      </c>
      <c r="F2" s="378"/>
      <c r="G2" s="378"/>
      <c r="H2" s="378"/>
      <c r="I2" s="378"/>
      <c r="J2" s="378"/>
      <c r="K2" s="132"/>
      <c r="L2" s="132"/>
      <c r="M2" s="133"/>
      <c r="N2" s="48"/>
    </row>
    <row r="3" spans="1:14" ht="14.25" x14ac:dyDescent="0.2">
      <c r="B3" s="131"/>
      <c r="C3" s="203"/>
      <c r="D3" s="75"/>
      <c r="E3" s="134"/>
      <c r="F3" s="132"/>
      <c r="G3" s="132"/>
      <c r="H3" s="132"/>
      <c r="I3" s="132"/>
      <c r="J3" s="132"/>
      <c r="K3" s="132"/>
      <c r="L3" s="132"/>
      <c r="M3" s="133"/>
      <c r="N3" s="48"/>
    </row>
    <row r="4" spans="1:14" ht="14.25" x14ac:dyDescent="0.2">
      <c r="B4" s="131"/>
      <c r="C4" s="203"/>
      <c r="D4" s="75"/>
      <c r="E4" s="134"/>
      <c r="F4" s="132"/>
      <c r="G4" s="132"/>
      <c r="H4" s="132"/>
      <c r="I4" s="132"/>
      <c r="J4" s="132"/>
      <c r="K4" s="132"/>
      <c r="L4" s="132"/>
      <c r="M4" s="133"/>
      <c r="N4" s="48"/>
    </row>
    <row r="5" spans="1:14" ht="20.25" x14ac:dyDescent="0.2">
      <c r="B5" s="135"/>
      <c r="C5" s="39"/>
      <c r="D5" s="75"/>
      <c r="E5" s="378" t="s">
        <v>288</v>
      </c>
      <c r="F5" s="378"/>
      <c r="G5" s="378"/>
      <c r="H5" s="378"/>
      <c r="I5" s="378"/>
      <c r="J5" s="378"/>
      <c r="K5" s="380"/>
      <c r="L5" s="380"/>
      <c r="M5" s="381"/>
      <c r="N5" s="48"/>
    </row>
    <row r="6" spans="1:14" ht="36.75" customHeight="1" thickBot="1" x14ac:dyDescent="0.25">
      <c r="B6" s="136"/>
      <c r="C6" s="47"/>
      <c r="D6" s="408" t="s">
        <v>484</v>
      </c>
      <c r="E6" s="408"/>
      <c r="F6" s="408"/>
      <c r="G6" s="408"/>
      <c r="H6" s="408"/>
      <c r="I6" s="408"/>
      <c r="J6" s="137"/>
      <c r="K6" s="137"/>
      <c r="L6" s="137"/>
      <c r="M6" s="138"/>
      <c r="N6" s="48"/>
    </row>
    <row r="7" spans="1:14" ht="30" customHeight="1" x14ac:dyDescent="0.2">
      <c r="B7" s="101" t="s">
        <v>279</v>
      </c>
      <c r="C7" s="204" t="s">
        <v>339</v>
      </c>
      <c r="D7" s="102" t="s">
        <v>14</v>
      </c>
      <c r="E7" s="102" t="s">
        <v>274</v>
      </c>
      <c r="F7" s="102" t="s">
        <v>277</v>
      </c>
      <c r="G7" s="102" t="s">
        <v>278</v>
      </c>
      <c r="H7" s="103" t="s">
        <v>275</v>
      </c>
      <c r="I7" s="102" t="s">
        <v>291</v>
      </c>
      <c r="J7" s="102" t="s">
        <v>292</v>
      </c>
      <c r="K7" s="104" t="s">
        <v>276</v>
      </c>
      <c r="L7" s="104" t="s">
        <v>285</v>
      </c>
      <c r="M7" s="119" t="s">
        <v>284</v>
      </c>
      <c r="N7" s="48"/>
    </row>
    <row r="8" spans="1:14" s="82" customFormat="1" ht="30" customHeight="1" x14ac:dyDescent="0.2">
      <c r="A8" s="5" t="s">
        <v>28</v>
      </c>
      <c r="B8" s="199">
        <v>1</v>
      </c>
      <c r="C8" s="209" t="s">
        <v>339</v>
      </c>
      <c r="D8" s="200" t="s">
        <v>125</v>
      </c>
      <c r="E8" s="200" t="s">
        <v>80</v>
      </c>
      <c r="F8" s="201">
        <v>15</v>
      </c>
      <c r="G8" s="194">
        <v>416</v>
      </c>
      <c r="H8" s="116">
        <f t="shared" ref="H8:H16" si="0">ROUND(F8*G8,2)</f>
        <v>6240</v>
      </c>
      <c r="I8" s="151">
        <v>0</v>
      </c>
      <c r="J8" s="116">
        <f t="shared" ref="J8:J16" si="1">IF(G8&lt;=248.93,0,(IFERROR(IF(ROUND((((H8/F8*30.4)-VLOOKUP((H8/F8*30.4),TARIFA,1))*VLOOKUP((H8/F8*30.4),TARIFA,3)+VLOOKUP((H8/F8*30.4),TARIFA,2)-VLOOKUP((H8/F8*30.4),SUBSIDIO,2))/30.4*F8,2)&gt;0,ROUND((((H8/F8*30.4)-VLOOKUP((H8/F8*30.4),TARIFA,1))*VLOOKUP((H8/F8*30.4),TARIFA,3)+VLOOKUP((H8/F8*30.4),TARIFA,2)-VLOOKUP((H8/F8*30.4),SUBSIDIO,2))/30.4*F8,2),0),0)))</f>
        <v>560.80999999999995</v>
      </c>
      <c r="K8" s="116">
        <f t="shared" ref="K8:K15" si="2">J8</f>
        <v>560.80999999999995</v>
      </c>
      <c r="L8" s="116">
        <f>H8+I8-K8</f>
        <v>5679.1900000000005</v>
      </c>
      <c r="M8" s="120"/>
      <c r="N8" s="83"/>
    </row>
    <row r="9" spans="1:14" s="310" customFormat="1" ht="30" customHeight="1" x14ac:dyDescent="0.2">
      <c r="A9" s="28"/>
      <c r="B9" s="199">
        <v>2</v>
      </c>
      <c r="C9" s="209" t="s">
        <v>339</v>
      </c>
      <c r="D9" s="200" t="s">
        <v>378</v>
      </c>
      <c r="E9" s="200" t="s">
        <v>41</v>
      </c>
      <c r="F9" s="201">
        <v>15</v>
      </c>
      <c r="G9" s="194">
        <v>227.06639999999999</v>
      </c>
      <c r="H9" s="116">
        <f t="shared" ref="H9" si="3">ROUND(F9*G9,2)</f>
        <v>3406</v>
      </c>
      <c r="I9" s="151">
        <v>0</v>
      </c>
      <c r="J9" s="151">
        <f t="shared" si="1"/>
        <v>0</v>
      </c>
      <c r="K9" s="151">
        <f t="shared" ref="K9" si="4">J9</f>
        <v>0</v>
      </c>
      <c r="L9" s="116">
        <f t="shared" ref="L9" si="5">H9+I9-K9</f>
        <v>3406</v>
      </c>
      <c r="M9" s="120"/>
      <c r="N9" s="83"/>
    </row>
    <row r="10" spans="1:14" s="310" customFormat="1" ht="30" customHeight="1" x14ac:dyDescent="0.2">
      <c r="A10" s="28"/>
      <c r="B10" s="199">
        <v>3</v>
      </c>
      <c r="C10" s="209" t="s">
        <v>339</v>
      </c>
      <c r="D10" s="200" t="s">
        <v>177</v>
      </c>
      <c r="E10" s="200" t="s">
        <v>85</v>
      </c>
      <c r="F10" s="201">
        <v>15</v>
      </c>
      <c r="G10" s="194">
        <v>282.06639999999999</v>
      </c>
      <c r="H10" s="116">
        <f t="shared" si="0"/>
        <v>4231</v>
      </c>
      <c r="I10" s="151">
        <v>0</v>
      </c>
      <c r="J10" s="116">
        <f t="shared" si="1"/>
        <v>111.44</v>
      </c>
      <c r="K10" s="116">
        <f t="shared" si="2"/>
        <v>111.44</v>
      </c>
      <c r="L10" s="116">
        <f t="shared" ref="L10:L16" si="6">H10+I10-K10</f>
        <v>4119.5600000000004</v>
      </c>
      <c r="M10" s="120"/>
      <c r="N10" s="83"/>
    </row>
    <row r="11" spans="1:14" s="310" customFormat="1" ht="30" customHeight="1" x14ac:dyDescent="0.2">
      <c r="A11" s="28"/>
      <c r="B11" s="199">
        <v>4</v>
      </c>
      <c r="C11" s="209" t="s">
        <v>339</v>
      </c>
      <c r="D11" s="200" t="s">
        <v>178</v>
      </c>
      <c r="E11" s="200" t="s">
        <v>54</v>
      </c>
      <c r="F11" s="201">
        <v>15</v>
      </c>
      <c r="G11" s="194">
        <v>138.10599999999999</v>
      </c>
      <c r="H11" s="116">
        <f t="shared" si="0"/>
        <v>2071.59</v>
      </c>
      <c r="I11" s="151">
        <v>0</v>
      </c>
      <c r="J11" s="151">
        <f t="shared" si="1"/>
        <v>0</v>
      </c>
      <c r="K11" s="151">
        <f t="shared" si="2"/>
        <v>0</v>
      </c>
      <c r="L11" s="116">
        <f t="shared" si="6"/>
        <v>2071.59</v>
      </c>
      <c r="M11" s="120"/>
      <c r="N11" s="83"/>
    </row>
    <row r="12" spans="1:14" s="82" customFormat="1" ht="30" customHeight="1" x14ac:dyDescent="0.2">
      <c r="A12" s="5"/>
      <c r="B12" s="199">
        <v>5</v>
      </c>
      <c r="C12" s="209"/>
      <c r="D12" s="200" t="s">
        <v>150</v>
      </c>
      <c r="E12" s="200" t="s">
        <v>41</v>
      </c>
      <c r="F12" s="201">
        <v>15</v>
      </c>
      <c r="G12" s="194">
        <v>197.13300000000001</v>
      </c>
      <c r="H12" s="116">
        <f t="shared" si="0"/>
        <v>2957</v>
      </c>
      <c r="I12" s="151">
        <v>0</v>
      </c>
      <c r="J12" s="151">
        <f t="shared" si="1"/>
        <v>0</v>
      </c>
      <c r="K12" s="151">
        <f t="shared" si="2"/>
        <v>0</v>
      </c>
      <c r="L12" s="116">
        <f t="shared" si="6"/>
        <v>2957</v>
      </c>
      <c r="M12" s="120"/>
      <c r="N12" s="83"/>
    </row>
    <row r="13" spans="1:14" s="82" customFormat="1" ht="30" customHeight="1" x14ac:dyDescent="0.2">
      <c r="A13" s="5"/>
      <c r="B13" s="199">
        <v>6</v>
      </c>
      <c r="C13" s="209" t="s">
        <v>339</v>
      </c>
      <c r="D13" s="200" t="s">
        <v>456</v>
      </c>
      <c r="E13" s="200" t="s">
        <v>457</v>
      </c>
      <c r="F13" s="201">
        <v>15</v>
      </c>
      <c r="G13" s="194">
        <v>138.10599999999999</v>
      </c>
      <c r="H13" s="116">
        <v>2071.59</v>
      </c>
      <c r="I13" s="151">
        <v>0</v>
      </c>
      <c r="J13" s="151">
        <v>0</v>
      </c>
      <c r="K13" s="151">
        <v>0</v>
      </c>
      <c r="L13" s="116">
        <f t="shared" si="6"/>
        <v>2071.59</v>
      </c>
      <c r="M13" s="120"/>
      <c r="N13" s="83"/>
    </row>
    <row r="14" spans="1:14" s="82" customFormat="1" ht="30" customHeight="1" x14ac:dyDescent="0.2">
      <c r="A14" s="5"/>
      <c r="B14" s="199">
        <v>7</v>
      </c>
      <c r="C14" s="209" t="s">
        <v>339</v>
      </c>
      <c r="D14" s="200" t="s">
        <v>179</v>
      </c>
      <c r="E14" s="200" t="s">
        <v>42</v>
      </c>
      <c r="F14" s="201">
        <v>15</v>
      </c>
      <c r="G14" s="194">
        <v>194.13300000000001</v>
      </c>
      <c r="H14" s="116">
        <f t="shared" si="0"/>
        <v>2912</v>
      </c>
      <c r="I14" s="151">
        <v>0</v>
      </c>
      <c r="J14" s="151">
        <f t="shared" si="1"/>
        <v>0</v>
      </c>
      <c r="K14" s="151">
        <f t="shared" si="2"/>
        <v>0</v>
      </c>
      <c r="L14" s="116">
        <f t="shared" si="6"/>
        <v>2912</v>
      </c>
      <c r="M14" s="120"/>
      <c r="N14" s="83"/>
    </row>
    <row r="15" spans="1:14" s="82" customFormat="1" ht="30" customHeight="1" x14ac:dyDescent="0.2">
      <c r="A15" s="5"/>
      <c r="B15" s="199">
        <v>8</v>
      </c>
      <c r="C15" s="209" t="s">
        <v>339</v>
      </c>
      <c r="D15" s="200" t="s">
        <v>258</v>
      </c>
      <c r="E15" s="200" t="s">
        <v>42</v>
      </c>
      <c r="F15" s="201">
        <v>15</v>
      </c>
      <c r="G15" s="194">
        <v>193</v>
      </c>
      <c r="H15" s="116">
        <f t="shared" si="0"/>
        <v>2895</v>
      </c>
      <c r="I15" s="151">
        <v>0</v>
      </c>
      <c r="J15" s="151">
        <f t="shared" si="1"/>
        <v>0</v>
      </c>
      <c r="K15" s="151">
        <f t="shared" si="2"/>
        <v>0</v>
      </c>
      <c r="L15" s="116">
        <f t="shared" si="6"/>
        <v>2895</v>
      </c>
      <c r="M15" s="120"/>
      <c r="N15" s="83"/>
    </row>
    <row r="16" spans="1:14" s="310" customFormat="1" ht="41.1" customHeight="1" x14ac:dyDescent="0.2">
      <c r="A16" s="28"/>
      <c r="B16" s="199">
        <v>9</v>
      </c>
      <c r="C16" s="209"/>
      <c r="D16" s="200" t="s">
        <v>372</v>
      </c>
      <c r="E16" s="210" t="s">
        <v>265</v>
      </c>
      <c r="F16" s="201">
        <v>15</v>
      </c>
      <c r="G16" s="194">
        <v>315.13299999999998</v>
      </c>
      <c r="H16" s="116">
        <f t="shared" si="0"/>
        <v>4727</v>
      </c>
      <c r="I16" s="151">
        <v>0</v>
      </c>
      <c r="J16" s="116">
        <f t="shared" si="1"/>
        <v>357.83</v>
      </c>
      <c r="K16" s="116">
        <f>J16</f>
        <v>357.83</v>
      </c>
      <c r="L16" s="116">
        <f t="shared" si="6"/>
        <v>4369.17</v>
      </c>
      <c r="M16" s="120"/>
      <c r="N16" s="83"/>
    </row>
    <row r="17" spans="1:14" s="310" customFormat="1" ht="30" customHeight="1" x14ac:dyDescent="0.2">
      <c r="A17" s="28"/>
      <c r="B17" s="199"/>
      <c r="C17" s="209"/>
      <c r="D17" s="200"/>
      <c r="E17" s="211" t="s">
        <v>33</v>
      </c>
      <c r="F17" s="402"/>
      <c r="G17" s="403"/>
      <c r="H17" s="117">
        <f>SUM(H8:H16)</f>
        <v>31511.18</v>
      </c>
      <c r="I17" s="152">
        <f t="shared" ref="I17:M17" si="7">SUM(I8:I16)</f>
        <v>0</v>
      </c>
      <c r="J17" s="117">
        <f t="shared" si="7"/>
        <v>1030.08</v>
      </c>
      <c r="K17" s="117">
        <f t="shared" si="7"/>
        <v>1030.08</v>
      </c>
      <c r="L17" s="117">
        <f>SUM(L8:L16)</f>
        <v>30481.1</v>
      </c>
      <c r="M17" s="121">
        <f t="shared" si="7"/>
        <v>0</v>
      </c>
      <c r="N17" s="83"/>
    </row>
    <row r="18" spans="1:14" ht="30" customHeight="1" x14ac:dyDescent="0.2">
      <c r="B18" s="404" t="s">
        <v>88</v>
      </c>
      <c r="C18" s="405"/>
      <c r="D18" s="406"/>
      <c r="E18" s="406"/>
      <c r="F18" s="406"/>
      <c r="G18" s="406"/>
      <c r="H18" s="406"/>
      <c r="I18" s="406"/>
      <c r="J18" s="406"/>
      <c r="K18" s="406"/>
      <c r="L18" s="406"/>
      <c r="M18" s="407"/>
      <c r="N18" s="48"/>
    </row>
    <row r="19" spans="1:14" ht="30" customHeight="1" x14ac:dyDescent="0.2">
      <c r="B19" s="199">
        <v>10</v>
      </c>
      <c r="C19" s="209"/>
      <c r="D19" s="200" t="s">
        <v>180</v>
      </c>
      <c r="E19" s="200" t="s">
        <v>89</v>
      </c>
      <c r="F19" s="201">
        <v>15</v>
      </c>
      <c r="G19" s="212">
        <v>573.46640000000002</v>
      </c>
      <c r="H19" s="116">
        <f>ROUND(F19*G19,2)</f>
        <v>8602</v>
      </c>
      <c r="I19" s="151">
        <v>0</v>
      </c>
      <c r="J19" s="116">
        <f>IF(G19&lt;=248.93,0,(IFERROR(IF(ROUND((((H19/F19*30.4)-VLOOKUP((H19/F19*30.4),TARIFA,1))*VLOOKUP((H19/F19*30.4),TARIFA,3)+VLOOKUP((H19/F19*30.4),TARIFA,2)-VLOOKUP((H19/F19*30.4),SUBSIDIO,2))/30.4*F19,2)&gt;0,ROUND((((H19/F19*30.4)-VLOOKUP((H19/F19*30.4),TARIFA,1))*VLOOKUP((H19/F19*30.4),TARIFA,3)+VLOOKUP((H19/F19*30.4),TARIFA,2)-VLOOKUP((H19/F19*30.4),SUBSIDIO,2))/30.4*F19,2),0),0)))</f>
        <v>1014.36</v>
      </c>
      <c r="K19" s="116">
        <f>J19</f>
        <v>1014.36</v>
      </c>
      <c r="L19" s="116">
        <f>H19+I19-K19</f>
        <v>7587.64</v>
      </c>
      <c r="M19" s="122"/>
      <c r="N19" s="48"/>
    </row>
    <row r="20" spans="1:14" ht="30" customHeight="1" x14ac:dyDescent="0.2">
      <c r="B20" s="199"/>
      <c r="C20" s="209"/>
      <c r="D20" s="200"/>
      <c r="E20" s="211" t="s">
        <v>33</v>
      </c>
      <c r="F20" s="402"/>
      <c r="G20" s="403"/>
      <c r="H20" s="117">
        <f>+H19</f>
        <v>8602</v>
      </c>
      <c r="I20" s="152">
        <f t="shared" ref="I20:M20" si="8">+I19</f>
        <v>0</v>
      </c>
      <c r="J20" s="117">
        <f t="shared" si="8"/>
        <v>1014.36</v>
      </c>
      <c r="K20" s="117">
        <f t="shared" si="8"/>
        <v>1014.36</v>
      </c>
      <c r="L20" s="117">
        <f t="shared" si="8"/>
        <v>7587.64</v>
      </c>
      <c r="M20" s="121">
        <f t="shared" si="8"/>
        <v>0</v>
      </c>
      <c r="N20" s="48"/>
    </row>
    <row r="21" spans="1:14" s="310" customFormat="1" ht="30" customHeight="1" x14ac:dyDescent="0.2">
      <c r="A21" s="28"/>
      <c r="B21" s="404" t="s">
        <v>34</v>
      </c>
      <c r="C21" s="405"/>
      <c r="D21" s="406"/>
      <c r="E21" s="406"/>
      <c r="F21" s="406"/>
      <c r="G21" s="406"/>
      <c r="H21" s="406"/>
      <c r="I21" s="406"/>
      <c r="J21" s="406"/>
      <c r="K21" s="406"/>
      <c r="L21" s="406"/>
      <c r="M21" s="407"/>
      <c r="N21" s="83"/>
    </row>
    <row r="22" spans="1:14" s="310" customFormat="1" ht="30" customHeight="1" x14ac:dyDescent="0.2">
      <c r="A22" s="28"/>
      <c r="B22" s="199">
        <v>11</v>
      </c>
      <c r="C22" s="209"/>
      <c r="D22" s="200" t="s">
        <v>181</v>
      </c>
      <c r="E22" s="200" t="s">
        <v>119</v>
      </c>
      <c r="F22" s="201">
        <v>15</v>
      </c>
      <c r="G22" s="212">
        <v>281.93299999999999</v>
      </c>
      <c r="H22" s="116">
        <f>ROUND(F22*G22,2)</f>
        <v>4229</v>
      </c>
      <c r="I22" s="151">
        <v>0</v>
      </c>
      <c r="J22" s="116">
        <f>IF(G22&lt;=248.93,0,(IFERROR(IF(ROUND((((H22/F22*30.4)-VLOOKUP((H22/F22*30.4),TARIFA,1))*VLOOKUP((H22/F22*30.4),TARIFA,3)+VLOOKUP((H22/F22*30.4),TARIFA,2)-VLOOKUP((H22/F22*30.4),SUBSIDIO,2))/30.4*F22,2)&gt;0,ROUND((((H22/F22*30.4)-VLOOKUP((H22/F22*30.4),TARIFA,1))*VLOOKUP((H22/F22*30.4),TARIFA,3)+VLOOKUP((H22/F22*30.4),TARIFA,2)-VLOOKUP((H22/F22*30.4),SUBSIDIO,2))/30.4*F22,2),0),0)))</f>
        <v>111.22</v>
      </c>
      <c r="K22" s="116">
        <f>J22</f>
        <v>111.22</v>
      </c>
      <c r="L22" s="116">
        <f>H22+I22-K22</f>
        <v>4117.78</v>
      </c>
      <c r="M22" s="120"/>
      <c r="N22" s="83"/>
    </row>
    <row r="23" spans="1:14" s="311" customFormat="1" ht="30" customHeight="1" x14ac:dyDescent="0.2">
      <c r="A23" s="26"/>
      <c r="B23" s="199">
        <v>12</v>
      </c>
      <c r="C23" s="209"/>
      <c r="D23" s="200" t="s">
        <v>182</v>
      </c>
      <c r="E23" s="200" t="s">
        <v>120</v>
      </c>
      <c r="F23" s="201">
        <v>15</v>
      </c>
      <c r="G23" s="212">
        <v>281.93299999999999</v>
      </c>
      <c r="H23" s="116">
        <f>ROUND(F23*G23,2)</f>
        <v>4229</v>
      </c>
      <c r="I23" s="151">
        <v>0</v>
      </c>
      <c r="J23" s="116">
        <f>IF(G23&lt;=248.93,0,(IFERROR(IF(ROUND((((H23/F23*30.4)-VLOOKUP((H23/F23*30.4),TARIFA,1))*VLOOKUP((H23/F23*30.4),TARIFA,3)+VLOOKUP((H23/F23*30.4),TARIFA,2)-VLOOKUP((H23/F23*30.4),SUBSIDIO,2))/30.4*F23,2)&gt;0,ROUND((((H23/F23*30.4)-VLOOKUP((H23/F23*30.4),TARIFA,1))*VLOOKUP((H23/F23*30.4),TARIFA,3)+VLOOKUP((H23/F23*30.4),TARIFA,2)-VLOOKUP((H23/F23*30.4),SUBSIDIO,2))/30.4*F23,2),0),0)))</f>
        <v>111.22</v>
      </c>
      <c r="K23" s="116">
        <f>J23</f>
        <v>111.22</v>
      </c>
      <c r="L23" s="116">
        <f>H23+I23-K23</f>
        <v>4117.78</v>
      </c>
      <c r="M23" s="120"/>
      <c r="N23" s="84"/>
    </row>
    <row r="24" spans="1:14" s="311" customFormat="1" ht="30" customHeight="1" x14ac:dyDescent="0.2">
      <c r="A24" s="26"/>
      <c r="B24" s="199">
        <v>13</v>
      </c>
      <c r="C24" s="209"/>
      <c r="D24" s="200" t="s">
        <v>266</v>
      </c>
      <c r="E24" s="200" t="s">
        <v>145</v>
      </c>
      <c r="F24" s="201">
        <v>15</v>
      </c>
      <c r="G24" s="212">
        <v>315.13299999999998</v>
      </c>
      <c r="H24" s="116">
        <f>ROUND(F24*G24,2)</f>
        <v>4727</v>
      </c>
      <c r="I24" s="151">
        <v>0</v>
      </c>
      <c r="J24" s="116">
        <f>IF(G24&lt;=248.93,0,(IFERROR(IF(ROUND((((H24/F24*30.4)-VLOOKUP((H24/F24*30.4),TARIFA,1))*VLOOKUP((H24/F24*30.4),TARIFA,3)+VLOOKUP((H24/F24*30.4),TARIFA,2)-VLOOKUP((H24/F24*30.4),SUBSIDIO,2))/30.4*F24,2)&gt;0,ROUND((((H24/F24*30.4)-VLOOKUP((H24/F24*30.4),TARIFA,1))*VLOOKUP((H24/F24*30.4),TARIFA,3)+VLOOKUP((H24/F24*30.4),TARIFA,2)-VLOOKUP((H24/F24*30.4),SUBSIDIO,2))/30.4*F24,2),0),0)))</f>
        <v>357.83</v>
      </c>
      <c r="K24" s="116">
        <f>J24</f>
        <v>357.83</v>
      </c>
      <c r="L24" s="116">
        <f>H24+I24-K24</f>
        <v>4369.17</v>
      </c>
      <c r="M24" s="120"/>
      <c r="N24" s="84"/>
    </row>
    <row r="25" spans="1:14" s="311" customFormat="1" ht="30" customHeight="1" x14ac:dyDescent="0.2">
      <c r="A25" s="26"/>
      <c r="B25" s="199">
        <v>14</v>
      </c>
      <c r="C25" s="209"/>
      <c r="D25" s="200" t="s">
        <v>343</v>
      </c>
      <c r="E25" s="200" t="s">
        <v>42</v>
      </c>
      <c r="F25" s="201">
        <v>15</v>
      </c>
      <c r="G25" s="212">
        <v>281.93299999999999</v>
      </c>
      <c r="H25" s="116">
        <f>ROUND(F25*G25,2)</f>
        <v>4229</v>
      </c>
      <c r="I25" s="151">
        <v>0</v>
      </c>
      <c r="J25" s="116">
        <f>IF(G25&lt;=248.93,0,(IFERROR(IF(ROUND((((H25/F25*30.4)-VLOOKUP((H25/F25*30.4),TARIFA,1))*VLOOKUP((H25/F25*30.4),TARIFA,3)+VLOOKUP((H25/F25*30.4),TARIFA,2)-VLOOKUP((H25/F25*30.4),SUBSIDIO,2))/30.4*F25,2)&gt;0,ROUND((((H25/F25*30.4)-VLOOKUP((H25/F25*30.4),TARIFA,1))*VLOOKUP((H25/F25*30.4),TARIFA,3)+VLOOKUP((H25/F25*30.4),TARIFA,2)-VLOOKUP((H25/F25*30.4),SUBSIDIO,2))/30.4*F25,2),0),0)))</f>
        <v>111.22</v>
      </c>
      <c r="K25" s="116">
        <f>J25</f>
        <v>111.22</v>
      </c>
      <c r="L25" s="116">
        <f>H25+I25-K25</f>
        <v>4117.78</v>
      </c>
      <c r="M25" s="120"/>
      <c r="N25" s="84"/>
    </row>
    <row r="26" spans="1:14" s="310" customFormat="1" ht="30" customHeight="1" x14ac:dyDescent="0.2">
      <c r="A26" s="28"/>
      <c r="B26" s="213"/>
      <c r="C26" s="214"/>
      <c r="D26" s="215"/>
      <c r="E26" s="211" t="s">
        <v>33</v>
      </c>
      <c r="F26" s="402"/>
      <c r="G26" s="403"/>
      <c r="H26" s="117">
        <f>SUM(H22:H25)</f>
        <v>17414</v>
      </c>
      <c r="I26" s="152">
        <f>SUM(I22:I25)</f>
        <v>0</v>
      </c>
      <c r="J26" s="117">
        <f>SUM(J22:J25)</f>
        <v>691.49</v>
      </c>
      <c r="K26" s="117">
        <f>SUM(K22:K25)</f>
        <v>691.49</v>
      </c>
      <c r="L26" s="117">
        <f>SUM(L22:L25)</f>
        <v>16722.509999999998</v>
      </c>
      <c r="M26" s="121">
        <f>SUM(M22:M24)</f>
        <v>0</v>
      </c>
      <c r="N26" s="83"/>
    </row>
    <row r="27" spans="1:14" ht="30" customHeight="1" x14ac:dyDescent="0.2">
      <c r="B27" s="404" t="s">
        <v>36</v>
      </c>
      <c r="C27" s="405"/>
      <c r="D27" s="406"/>
      <c r="E27" s="406"/>
      <c r="F27" s="406"/>
      <c r="G27" s="406"/>
      <c r="H27" s="406"/>
      <c r="I27" s="406"/>
      <c r="J27" s="406"/>
      <c r="K27" s="406"/>
      <c r="L27" s="406"/>
      <c r="M27" s="407"/>
      <c r="N27" s="48"/>
    </row>
    <row r="28" spans="1:14" ht="30" customHeight="1" x14ac:dyDescent="0.2">
      <c r="B28" s="199">
        <v>15</v>
      </c>
      <c r="C28" s="209"/>
      <c r="D28" s="200" t="s">
        <v>183</v>
      </c>
      <c r="E28" s="200" t="s">
        <v>61</v>
      </c>
      <c r="F28" s="201">
        <v>15</v>
      </c>
      <c r="G28" s="194">
        <v>295.733</v>
      </c>
      <c r="H28" s="116">
        <f t="shared" ref="H28:H31" si="9">ROUND(F28*G28,2)</f>
        <v>4436</v>
      </c>
      <c r="I28" s="151">
        <v>0</v>
      </c>
      <c r="J28" s="116">
        <f t="shared" ref="J28:J32" si="10">IF(G28&lt;=248.93,0,(IFERROR(IF(ROUND((((H28/F28*30.4)-VLOOKUP((H28/F28*30.4),TARIFA,1))*VLOOKUP((H28/F28*30.4),TARIFA,3)+VLOOKUP((H28/F28*30.4),TARIFA,2)-VLOOKUP((H28/F28*30.4),SUBSIDIO,2))/30.4*F28,2)&gt;0,ROUND((((H28/F28*30.4)-VLOOKUP((H28/F28*30.4),TARIFA,1))*VLOOKUP((H28/F28*30.4),TARIFA,3)+VLOOKUP((H28/F28*30.4),TARIFA,2)-VLOOKUP((H28/F28*30.4),SUBSIDIO,2))/30.4*F28,2),0),0)))</f>
        <v>133.74</v>
      </c>
      <c r="K28" s="116">
        <f t="shared" ref="K28:K32" si="11">J28</f>
        <v>133.74</v>
      </c>
      <c r="L28" s="116">
        <f t="shared" ref="L28:L30" si="12">H28+I28-K28</f>
        <v>4302.26</v>
      </c>
      <c r="M28" s="120"/>
      <c r="N28" s="48"/>
    </row>
    <row r="29" spans="1:14" ht="30" customHeight="1" x14ac:dyDescent="0.2">
      <c r="B29" s="199">
        <v>16</v>
      </c>
      <c r="C29" s="209" t="s">
        <v>339</v>
      </c>
      <c r="D29" s="200" t="s">
        <v>480</v>
      </c>
      <c r="E29" s="200" t="s">
        <v>101</v>
      </c>
      <c r="F29" s="201">
        <v>15</v>
      </c>
      <c r="G29" s="194">
        <v>197.2</v>
      </c>
      <c r="H29" s="116">
        <f t="shared" si="9"/>
        <v>2958</v>
      </c>
      <c r="I29" s="151">
        <v>0</v>
      </c>
      <c r="J29" s="151">
        <f t="shared" si="10"/>
        <v>0</v>
      </c>
      <c r="K29" s="151">
        <f t="shared" si="11"/>
        <v>0</v>
      </c>
      <c r="L29" s="116">
        <f t="shared" si="12"/>
        <v>2958</v>
      </c>
      <c r="M29" s="120"/>
      <c r="N29" s="48"/>
    </row>
    <row r="30" spans="1:14" ht="30" customHeight="1" x14ac:dyDescent="0.2">
      <c r="B30" s="199">
        <v>17</v>
      </c>
      <c r="C30" s="209"/>
      <c r="D30" s="200" t="s">
        <v>184</v>
      </c>
      <c r="E30" s="200" t="s">
        <v>42</v>
      </c>
      <c r="F30" s="201">
        <v>15</v>
      </c>
      <c r="G30" s="194">
        <v>153.333</v>
      </c>
      <c r="H30" s="116">
        <f t="shared" si="9"/>
        <v>2300</v>
      </c>
      <c r="I30" s="151">
        <v>0</v>
      </c>
      <c r="J30" s="151">
        <f t="shared" si="10"/>
        <v>0</v>
      </c>
      <c r="K30" s="151">
        <f t="shared" si="11"/>
        <v>0</v>
      </c>
      <c r="L30" s="116">
        <f t="shared" si="12"/>
        <v>2300</v>
      </c>
      <c r="M30" s="120"/>
      <c r="N30" s="48"/>
    </row>
    <row r="31" spans="1:14" ht="30" customHeight="1" x14ac:dyDescent="0.2">
      <c r="B31" s="199">
        <v>18</v>
      </c>
      <c r="C31" s="209" t="s">
        <v>339</v>
      </c>
      <c r="D31" s="200" t="s">
        <v>262</v>
      </c>
      <c r="E31" s="200" t="s">
        <v>263</v>
      </c>
      <c r="F31" s="201">
        <v>15</v>
      </c>
      <c r="G31" s="194">
        <v>466.33300000000003</v>
      </c>
      <c r="H31" s="116">
        <f t="shared" si="9"/>
        <v>6995</v>
      </c>
      <c r="I31" s="151">
        <v>0</v>
      </c>
      <c r="J31" s="116">
        <f t="shared" si="10"/>
        <v>693.36</v>
      </c>
      <c r="K31" s="116">
        <f t="shared" si="11"/>
        <v>693.36</v>
      </c>
      <c r="L31" s="116">
        <f>H31+I31-K31</f>
        <v>6301.64</v>
      </c>
      <c r="M31" s="120"/>
      <c r="N31" s="48"/>
    </row>
    <row r="32" spans="1:14" ht="30" customHeight="1" x14ac:dyDescent="0.2">
      <c r="B32" s="199">
        <v>19</v>
      </c>
      <c r="C32" s="209" t="s">
        <v>339</v>
      </c>
      <c r="D32" s="200" t="s">
        <v>446</v>
      </c>
      <c r="E32" s="200" t="s">
        <v>42</v>
      </c>
      <c r="F32" s="201">
        <v>11</v>
      </c>
      <c r="G32" s="194">
        <v>223.333</v>
      </c>
      <c r="H32" s="116">
        <f t="shared" ref="H32" si="13">ROUND(F32*G32,2)</f>
        <v>2456.66</v>
      </c>
      <c r="I32" s="151">
        <v>0</v>
      </c>
      <c r="J32" s="151">
        <f t="shared" si="10"/>
        <v>0</v>
      </c>
      <c r="K32" s="151">
        <f t="shared" si="11"/>
        <v>0</v>
      </c>
      <c r="L32" s="116">
        <f>H32+I32-K32</f>
        <v>2456.66</v>
      </c>
      <c r="M32" s="120"/>
      <c r="N32" s="48"/>
    </row>
    <row r="33" spans="2:14" ht="30" customHeight="1" x14ac:dyDescent="0.2">
      <c r="B33" s="199"/>
      <c r="C33" s="209"/>
      <c r="D33" s="200"/>
      <c r="E33" s="211" t="s">
        <v>33</v>
      </c>
      <c r="F33" s="402"/>
      <c r="G33" s="403"/>
      <c r="H33" s="117">
        <f>SUM(H28:H32)</f>
        <v>19145.66</v>
      </c>
      <c r="I33" s="152">
        <f>SUM(I28:I32)</f>
        <v>0</v>
      </c>
      <c r="J33" s="117">
        <f>SUM(J28:J32)</f>
        <v>827.1</v>
      </c>
      <c r="K33" s="117">
        <f>SUM(K28:K32)</f>
        <v>827.1</v>
      </c>
      <c r="L33" s="117">
        <f>SUM(L28:L32)</f>
        <v>18318.560000000001</v>
      </c>
      <c r="M33" s="121">
        <f>SUM(M28:M31)</f>
        <v>0</v>
      </c>
      <c r="N33" s="48"/>
    </row>
    <row r="34" spans="2:14" ht="30" customHeight="1" x14ac:dyDescent="0.2">
      <c r="B34" s="404" t="s">
        <v>39</v>
      </c>
      <c r="C34" s="405"/>
      <c r="D34" s="406"/>
      <c r="E34" s="406"/>
      <c r="F34" s="406"/>
      <c r="G34" s="406"/>
      <c r="H34" s="406"/>
      <c r="I34" s="406"/>
      <c r="J34" s="406"/>
      <c r="K34" s="406"/>
      <c r="L34" s="406"/>
      <c r="M34" s="407"/>
      <c r="N34" s="48"/>
    </row>
    <row r="35" spans="2:14" ht="30" customHeight="1" x14ac:dyDescent="0.2">
      <c r="B35" s="199">
        <v>20</v>
      </c>
      <c r="C35" s="209"/>
      <c r="D35" s="200" t="s">
        <v>373</v>
      </c>
      <c r="E35" s="200" t="s">
        <v>42</v>
      </c>
      <c r="F35" s="201">
        <v>15</v>
      </c>
      <c r="G35" s="194">
        <v>111.819</v>
      </c>
      <c r="H35" s="116">
        <f t="shared" ref="H35:H39" si="14">ROUND(F35*G35,2)</f>
        <v>1677.29</v>
      </c>
      <c r="I35" s="151">
        <v>0</v>
      </c>
      <c r="J35" s="151">
        <f t="shared" ref="J35:J39" si="15">IF(G35&lt;=248.93,0,(IFERROR(IF(ROUND((((H35/F35*30.4)-VLOOKUP((H35/F35*30.4),TARIFA,1))*VLOOKUP((H35/F35*30.4),TARIFA,3)+VLOOKUP((H35/F35*30.4),TARIFA,2)-VLOOKUP((H35/F35*30.4),SUBSIDIO,2))/30.4*F35,2)&gt;0,ROUND((((H35/F35*30.4)-VLOOKUP((H35/F35*30.4),TARIFA,1))*VLOOKUP((H35/F35*30.4),TARIFA,3)+VLOOKUP((H35/F35*30.4),TARIFA,2)-VLOOKUP((H35/F35*30.4),SUBSIDIO,2))/30.4*F35,2),0),0)))</f>
        <v>0</v>
      </c>
      <c r="K35" s="151">
        <f t="shared" ref="K35:K39" si="16">J35</f>
        <v>0</v>
      </c>
      <c r="L35" s="116">
        <f t="shared" ref="L35:L39" si="17">H35+I35-K35</f>
        <v>1677.29</v>
      </c>
      <c r="M35" s="120"/>
      <c r="N35" s="48"/>
    </row>
    <row r="36" spans="2:14" ht="30" customHeight="1" x14ac:dyDescent="0.2">
      <c r="B36" s="199">
        <v>21</v>
      </c>
      <c r="C36" s="209" t="s">
        <v>339</v>
      </c>
      <c r="D36" s="200" t="s">
        <v>185</v>
      </c>
      <c r="E36" s="200" t="s">
        <v>42</v>
      </c>
      <c r="F36" s="201">
        <v>15</v>
      </c>
      <c r="G36" s="194">
        <v>130.49299999999999</v>
      </c>
      <c r="H36" s="116">
        <f t="shared" si="14"/>
        <v>1957.4</v>
      </c>
      <c r="I36" s="151">
        <v>0</v>
      </c>
      <c r="J36" s="151">
        <f t="shared" si="15"/>
        <v>0</v>
      </c>
      <c r="K36" s="151">
        <f t="shared" si="16"/>
        <v>0</v>
      </c>
      <c r="L36" s="116">
        <f t="shared" si="17"/>
        <v>1957.4</v>
      </c>
      <c r="M36" s="120"/>
      <c r="N36" s="48"/>
    </row>
    <row r="37" spans="2:14" ht="30" customHeight="1" x14ac:dyDescent="0.2">
      <c r="B37" s="199">
        <v>22</v>
      </c>
      <c r="C37" s="209"/>
      <c r="D37" s="200" t="s">
        <v>186</v>
      </c>
      <c r="E37" s="200" t="s">
        <v>54</v>
      </c>
      <c r="F37" s="201">
        <v>15</v>
      </c>
      <c r="G37" s="194">
        <v>154.52440000000001</v>
      </c>
      <c r="H37" s="116">
        <f t="shared" si="14"/>
        <v>2317.87</v>
      </c>
      <c r="I37" s="151">
        <v>0</v>
      </c>
      <c r="J37" s="151">
        <f t="shared" si="15"/>
        <v>0</v>
      </c>
      <c r="K37" s="151">
        <f t="shared" si="16"/>
        <v>0</v>
      </c>
      <c r="L37" s="116">
        <f t="shared" si="17"/>
        <v>2317.87</v>
      </c>
      <c r="M37" s="120"/>
      <c r="N37" s="48"/>
    </row>
    <row r="38" spans="2:14" ht="30" customHeight="1" x14ac:dyDescent="0.2">
      <c r="B38" s="199">
        <v>23</v>
      </c>
      <c r="C38" s="209"/>
      <c r="D38" s="200" t="s">
        <v>270</v>
      </c>
      <c r="E38" s="200" t="s">
        <v>271</v>
      </c>
      <c r="F38" s="201">
        <v>15</v>
      </c>
      <c r="G38" s="194">
        <v>170.73330000000001</v>
      </c>
      <c r="H38" s="116">
        <f t="shared" si="14"/>
        <v>2561</v>
      </c>
      <c r="I38" s="151">
        <v>0</v>
      </c>
      <c r="J38" s="151">
        <f t="shared" si="15"/>
        <v>0</v>
      </c>
      <c r="K38" s="151">
        <f t="shared" si="16"/>
        <v>0</v>
      </c>
      <c r="L38" s="116">
        <f t="shared" si="17"/>
        <v>2561</v>
      </c>
      <c r="M38" s="120"/>
      <c r="N38" s="48"/>
    </row>
    <row r="39" spans="2:14" ht="30" customHeight="1" x14ac:dyDescent="0.2">
      <c r="B39" s="199">
        <v>24</v>
      </c>
      <c r="C39" s="209"/>
      <c r="D39" s="200" t="s">
        <v>438</v>
      </c>
      <c r="E39" s="200" t="s">
        <v>271</v>
      </c>
      <c r="F39" s="201">
        <v>15</v>
      </c>
      <c r="G39" s="194">
        <v>186.26650000000001</v>
      </c>
      <c r="H39" s="116">
        <f t="shared" si="14"/>
        <v>2794</v>
      </c>
      <c r="I39" s="151">
        <v>0</v>
      </c>
      <c r="J39" s="151">
        <f t="shared" si="15"/>
        <v>0</v>
      </c>
      <c r="K39" s="151">
        <f t="shared" si="16"/>
        <v>0</v>
      </c>
      <c r="L39" s="116">
        <f t="shared" si="17"/>
        <v>2794</v>
      </c>
      <c r="M39" s="120"/>
      <c r="N39" s="48"/>
    </row>
    <row r="40" spans="2:14" ht="30" customHeight="1" x14ac:dyDescent="0.2">
      <c r="B40" s="199">
        <v>25</v>
      </c>
      <c r="C40" s="209" t="s">
        <v>339</v>
      </c>
      <c r="D40" s="200" t="s">
        <v>447</v>
      </c>
      <c r="E40" s="200" t="s">
        <v>271</v>
      </c>
      <c r="F40" s="201">
        <v>15</v>
      </c>
      <c r="G40" s="194">
        <v>180</v>
      </c>
      <c r="H40" s="116">
        <f t="shared" ref="H40" si="18">ROUND(F40*G40,2)</f>
        <v>2700</v>
      </c>
      <c r="I40" s="151">
        <v>0</v>
      </c>
      <c r="J40" s="151">
        <f t="shared" ref="J40" si="19">IF(G40&lt;=248.93,0,(IFERROR(IF(ROUND((((H40/F40*30.4)-VLOOKUP((H40/F40*30.4),TARIFA,1))*VLOOKUP((H40/F40*30.4),TARIFA,3)+VLOOKUP((H40/F40*30.4),TARIFA,2)-VLOOKUP((H40/F40*30.4),SUBSIDIO,2))/30.4*F40,2)&gt;0,ROUND((((H40/F40*30.4)-VLOOKUP((H40/F40*30.4),TARIFA,1))*VLOOKUP((H40/F40*30.4),TARIFA,3)+VLOOKUP((H40/F40*30.4),TARIFA,2)-VLOOKUP((H40/F40*30.4),SUBSIDIO,2))/30.4*F40,2),0),0)))</f>
        <v>0</v>
      </c>
      <c r="K40" s="151">
        <f t="shared" ref="K40" si="20">J40</f>
        <v>0</v>
      </c>
      <c r="L40" s="116">
        <f t="shared" ref="L40" si="21">H40+I40-K40</f>
        <v>2700</v>
      </c>
      <c r="M40" s="120"/>
      <c r="N40" s="48"/>
    </row>
    <row r="41" spans="2:14" ht="30" customHeight="1" x14ac:dyDescent="0.2">
      <c r="B41" s="199">
        <v>26</v>
      </c>
      <c r="C41" s="209" t="s">
        <v>339</v>
      </c>
      <c r="D41" s="200" t="s">
        <v>453</v>
      </c>
      <c r="E41" s="200" t="s">
        <v>454</v>
      </c>
      <c r="F41" s="201">
        <v>15</v>
      </c>
      <c r="G41" s="194">
        <v>193.333</v>
      </c>
      <c r="H41" s="116">
        <f t="shared" ref="H41" si="22">ROUND(F41*G41,2)</f>
        <v>2900</v>
      </c>
      <c r="I41" s="151">
        <v>0</v>
      </c>
      <c r="J41" s="151">
        <f t="shared" ref="J41" si="23">IF(G41&lt;=248.93,0,(IFERROR(IF(ROUND((((H41/F41*30.4)-VLOOKUP((H41/F41*30.4),TARIFA,1))*VLOOKUP((H41/F41*30.4),TARIFA,3)+VLOOKUP((H41/F41*30.4),TARIFA,2)-VLOOKUP((H41/F41*30.4),SUBSIDIO,2))/30.4*F41,2)&gt;0,ROUND((((H41/F41*30.4)-VLOOKUP((H41/F41*30.4),TARIFA,1))*VLOOKUP((H41/F41*30.4),TARIFA,3)+VLOOKUP((H41/F41*30.4),TARIFA,2)-VLOOKUP((H41/F41*30.4),SUBSIDIO,2))/30.4*F41,2),0),0)))</f>
        <v>0</v>
      </c>
      <c r="K41" s="151">
        <f t="shared" ref="K41" si="24">J41</f>
        <v>0</v>
      </c>
      <c r="L41" s="116">
        <f t="shared" ref="L41" si="25">H41+I41-K41</f>
        <v>2900</v>
      </c>
      <c r="M41" s="120"/>
      <c r="N41" s="48"/>
    </row>
    <row r="42" spans="2:14" ht="30" customHeight="1" x14ac:dyDescent="0.2">
      <c r="B42" s="199"/>
      <c r="C42" s="209"/>
      <c r="D42" s="200"/>
      <c r="E42" s="211" t="s">
        <v>33</v>
      </c>
      <c r="F42" s="402"/>
      <c r="G42" s="403"/>
      <c r="H42" s="117">
        <f>SUM(H35:H41)</f>
        <v>16907.559999999998</v>
      </c>
      <c r="I42" s="152">
        <f t="shared" ref="I42:K42" si="26">SUM(I35:I41)</f>
        <v>0</v>
      </c>
      <c r="J42" s="152">
        <f t="shared" si="26"/>
        <v>0</v>
      </c>
      <c r="K42" s="152">
        <f t="shared" si="26"/>
        <v>0</v>
      </c>
      <c r="L42" s="117">
        <f>SUM(L35:L41)</f>
        <v>16907.559999999998</v>
      </c>
      <c r="M42" s="121">
        <f>SUM(M35:M38)</f>
        <v>0</v>
      </c>
      <c r="N42" s="48"/>
    </row>
    <row r="43" spans="2:14" ht="30" customHeight="1" x14ac:dyDescent="0.2">
      <c r="B43" s="404" t="s">
        <v>43</v>
      </c>
      <c r="C43" s="405"/>
      <c r="D43" s="406"/>
      <c r="E43" s="406"/>
      <c r="F43" s="406"/>
      <c r="G43" s="406"/>
      <c r="H43" s="406"/>
      <c r="I43" s="406"/>
      <c r="J43" s="406"/>
      <c r="K43" s="406"/>
      <c r="L43" s="406"/>
      <c r="M43" s="407"/>
      <c r="N43" s="48"/>
    </row>
    <row r="44" spans="2:14" ht="30" customHeight="1" x14ac:dyDescent="0.2">
      <c r="B44" s="199">
        <v>27</v>
      </c>
      <c r="C44" s="209" t="s">
        <v>339</v>
      </c>
      <c r="D44" s="200" t="s">
        <v>187</v>
      </c>
      <c r="E44" s="200" t="s">
        <v>62</v>
      </c>
      <c r="F44" s="201">
        <v>15</v>
      </c>
      <c r="G44" s="194">
        <v>133.613</v>
      </c>
      <c r="H44" s="116">
        <f>ROUND(F44*G44,2)</f>
        <v>2004.2</v>
      </c>
      <c r="I44" s="151">
        <v>0</v>
      </c>
      <c r="J44" s="151">
        <f t="shared" ref="J44:J57" si="27">IF(G44&lt;=248.93,0,(IFERROR(IF(ROUND((((H44/F44*30.4)-VLOOKUP((H44/F44*30.4),TARIFA,1))*VLOOKUP((H44/F44*30.4),TARIFA,3)+VLOOKUP((H44/F44*30.4),TARIFA,2)-VLOOKUP((H44/F44*30.4),SUBSIDIO,2))/30.4*F44,2)&gt;0,ROUND((((H44/F44*30.4)-VLOOKUP((H44/F44*30.4),TARIFA,1))*VLOOKUP((H44/F44*30.4),TARIFA,3)+VLOOKUP((H44/F44*30.4),TARIFA,2)-VLOOKUP((H44/F44*30.4),SUBSIDIO,2))/30.4*F44,2),0),0)))</f>
        <v>0</v>
      </c>
      <c r="K44" s="151">
        <f t="shared" ref="K44:K55" si="28">J44</f>
        <v>0</v>
      </c>
      <c r="L44" s="116">
        <f t="shared" ref="L44:L55" si="29">H44+I44-K44</f>
        <v>2004.2</v>
      </c>
      <c r="M44" s="120"/>
      <c r="N44" s="48"/>
    </row>
    <row r="45" spans="2:14" ht="30" customHeight="1" x14ac:dyDescent="0.2">
      <c r="B45" s="199">
        <v>28</v>
      </c>
      <c r="C45" s="209" t="s">
        <v>339</v>
      </c>
      <c r="D45" s="200" t="s">
        <v>188</v>
      </c>
      <c r="E45" s="200" t="s">
        <v>63</v>
      </c>
      <c r="F45" s="201">
        <v>15</v>
      </c>
      <c r="G45" s="194">
        <v>162.04499999999999</v>
      </c>
      <c r="H45" s="116">
        <f t="shared" ref="H45:H50" si="30">ROUND(F45*G45,2)</f>
        <v>2430.6799999999998</v>
      </c>
      <c r="I45" s="151">
        <v>0</v>
      </c>
      <c r="J45" s="151">
        <f t="shared" si="27"/>
        <v>0</v>
      </c>
      <c r="K45" s="151">
        <f t="shared" si="28"/>
        <v>0</v>
      </c>
      <c r="L45" s="116">
        <f t="shared" si="29"/>
        <v>2430.6799999999998</v>
      </c>
      <c r="M45" s="120"/>
      <c r="N45" s="48"/>
    </row>
    <row r="46" spans="2:14" ht="30" customHeight="1" x14ac:dyDescent="0.2">
      <c r="B46" s="199">
        <v>29</v>
      </c>
      <c r="C46" s="209"/>
      <c r="D46" s="200" t="s">
        <v>189</v>
      </c>
      <c r="E46" s="200" t="s">
        <v>56</v>
      </c>
      <c r="F46" s="201">
        <v>15</v>
      </c>
      <c r="G46" s="194">
        <v>220.8</v>
      </c>
      <c r="H46" s="116">
        <f t="shared" si="30"/>
        <v>3312</v>
      </c>
      <c r="I46" s="151">
        <v>0</v>
      </c>
      <c r="J46" s="151">
        <f t="shared" si="27"/>
        <v>0</v>
      </c>
      <c r="K46" s="151">
        <f t="shared" si="28"/>
        <v>0</v>
      </c>
      <c r="L46" s="116">
        <f t="shared" si="29"/>
        <v>3312</v>
      </c>
      <c r="M46" s="120"/>
      <c r="N46" s="48"/>
    </row>
    <row r="47" spans="2:14" ht="30" customHeight="1" x14ac:dyDescent="0.2">
      <c r="B47" s="199">
        <v>30</v>
      </c>
      <c r="C47" s="209" t="s">
        <v>339</v>
      </c>
      <c r="D47" s="200" t="s">
        <v>261</v>
      </c>
      <c r="E47" s="200" t="s">
        <v>69</v>
      </c>
      <c r="F47" s="201">
        <v>15</v>
      </c>
      <c r="G47" s="194">
        <v>137.482</v>
      </c>
      <c r="H47" s="116">
        <f t="shared" si="30"/>
        <v>2062.23</v>
      </c>
      <c r="I47" s="151">
        <v>0</v>
      </c>
      <c r="J47" s="151">
        <f t="shared" si="27"/>
        <v>0</v>
      </c>
      <c r="K47" s="151">
        <f t="shared" si="28"/>
        <v>0</v>
      </c>
      <c r="L47" s="116">
        <f t="shared" si="29"/>
        <v>2062.23</v>
      </c>
      <c r="M47" s="120"/>
      <c r="N47" s="48"/>
    </row>
    <row r="48" spans="2:14" ht="30" customHeight="1" x14ac:dyDescent="0.2">
      <c r="B48" s="199">
        <v>31</v>
      </c>
      <c r="C48" s="209" t="s">
        <v>339</v>
      </c>
      <c r="D48" s="200" t="s">
        <v>341</v>
      </c>
      <c r="E48" s="200" t="s">
        <v>69</v>
      </c>
      <c r="F48" s="201">
        <v>15</v>
      </c>
      <c r="G48" s="194">
        <v>151.03</v>
      </c>
      <c r="H48" s="116">
        <f>ROUND(F48*G48,2)</f>
        <v>2265.4499999999998</v>
      </c>
      <c r="I48" s="151">
        <v>0</v>
      </c>
      <c r="J48" s="151">
        <f t="shared" si="27"/>
        <v>0</v>
      </c>
      <c r="K48" s="151">
        <f t="shared" si="28"/>
        <v>0</v>
      </c>
      <c r="L48" s="116">
        <f>H48+I48-K48</f>
        <v>2265.4499999999998</v>
      </c>
      <c r="M48" s="120"/>
      <c r="N48" s="48"/>
    </row>
    <row r="49" spans="1:14" ht="30" customHeight="1" x14ac:dyDescent="0.2">
      <c r="B49" s="199">
        <v>32</v>
      </c>
      <c r="C49" s="209" t="s">
        <v>339</v>
      </c>
      <c r="D49" s="200" t="s">
        <v>461</v>
      </c>
      <c r="E49" s="200" t="s">
        <v>108</v>
      </c>
      <c r="F49" s="201">
        <v>15</v>
      </c>
      <c r="G49" s="194">
        <v>92.356999999999999</v>
      </c>
      <c r="H49" s="116">
        <f t="shared" ref="H49" si="31">ROUND(F49*G49,2)</f>
        <v>1385.36</v>
      </c>
      <c r="I49" s="151">
        <v>0</v>
      </c>
      <c r="J49" s="151">
        <f t="shared" ref="J49" si="32">IF(G49&lt;=248.93,0,(IFERROR(IF(ROUND((((H49/F49*30.4)-VLOOKUP((H49/F49*30.4),TARIFA,1))*VLOOKUP((H49/F49*30.4),TARIFA,3)+VLOOKUP((H49/F49*30.4),TARIFA,2)-VLOOKUP((H49/F49*30.4),SUBSIDIO,2))/30.4*F49,2)&gt;0,ROUND((((H49/F49*30.4)-VLOOKUP((H49/F49*30.4),TARIFA,1))*VLOOKUP((H49/F49*30.4),TARIFA,3)+VLOOKUP((H49/F49*30.4),TARIFA,2)-VLOOKUP((H49/F49*30.4),SUBSIDIO,2))/30.4*F49,2),0),0)))</f>
        <v>0</v>
      </c>
      <c r="K49" s="151">
        <f t="shared" ref="K49" si="33">J49</f>
        <v>0</v>
      </c>
      <c r="L49" s="116">
        <f t="shared" ref="L49" si="34">H49+I49-K49</f>
        <v>1385.36</v>
      </c>
      <c r="M49" s="120"/>
      <c r="N49" s="48"/>
    </row>
    <row r="50" spans="1:14" ht="30" customHeight="1" x14ac:dyDescent="0.2">
      <c r="B50" s="199">
        <v>33</v>
      </c>
      <c r="C50" s="209" t="s">
        <v>339</v>
      </c>
      <c r="D50" s="200" t="s">
        <v>190</v>
      </c>
      <c r="E50" s="200" t="s">
        <v>108</v>
      </c>
      <c r="F50" s="201">
        <v>15</v>
      </c>
      <c r="G50" s="194">
        <v>92.356999999999999</v>
      </c>
      <c r="H50" s="116">
        <f t="shared" si="30"/>
        <v>1385.36</v>
      </c>
      <c r="I50" s="151">
        <v>0</v>
      </c>
      <c r="J50" s="151">
        <f t="shared" si="27"/>
        <v>0</v>
      </c>
      <c r="K50" s="151">
        <f t="shared" si="28"/>
        <v>0</v>
      </c>
      <c r="L50" s="116">
        <f t="shared" si="29"/>
        <v>1385.36</v>
      </c>
      <c r="M50" s="120"/>
      <c r="N50" s="48"/>
    </row>
    <row r="51" spans="1:14" ht="30" customHeight="1" x14ac:dyDescent="0.2">
      <c r="B51" s="199">
        <v>34</v>
      </c>
      <c r="C51" s="209"/>
      <c r="D51" s="200" t="s">
        <v>191</v>
      </c>
      <c r="E51" s="200" t="s">
        <v>56</v>
      </c>
      <c r="F51" s="201">
        <v>15</v>
      </c>
      <c r="G51" s="194">
        <v>220.8</v>
      </c>
      <c r="H51" s="116">
        <f>ROUND(F51*G51,2)</f>
        <v>3312</v>
      </c>
      <c r="I51" s="151">
        <v>0</v>
      </c>
      <c r="J51" s="151">
        <f t="shared" si="27"/>
        <v>0</v>
      </c>
      <c r="K51" s="151">
        <f t="shared" si="28"/>
        <v>0</v>
      </c>
      <c r="L51" s="116">
        <f t="shared" si="29"/>
        <v>3312</v>
      </c>
      <c r="M51" s="120"/>
      <c r="N51" s="48"/>
    </row>
    <row r="52" spans="1:14" ht="30" customHeight="1" x14ac:dyDescent="0.2">
      <c r="A52" s="5" t="s">
        <v>28</v>
      </c>
      <c r="B52" s="199">
        <v>35</v>
      </c>
      <c r="C52" s="209"/>
      <c r="D52" s="200" t="s">
        <v>192</v>
      </c>
      <c r="E52" s="200" t="s">
        <v>56</v>
      </c>
      <c r="F52" s="201">
        <v>15</v>
      </c>
      <c r="G52" s="194">
        <v>220.8</v>
      </c>
      <c r="H52" s="116">
        <f t="shared" ref="H52:H55" si="35">ROUND(F52*G52,2)</f>
        <v>3312</v>
      </c>
      <c r="I52" s="151">
        <v>0</v>
      </c>
      <c r="J52" s="151">
        <f t="shared" si="27"/>
        <v>0</v>
      </c>
      <c r="K52" s="151">
        <f t="shared" si="28"/>
        <v>0</v>
      </c>
      <c r="L52" s="116">
        <f t="shared" si="29"/>
        <v>3312</v>
      </c>
      <c r="M52" s="120"/>
      <c r="N52" s="48"/>
    </row>
    <row r="53" spans="1:14" ht="30" customHeight="1" x14ac:dyDescent="0.2">
      <c r="B53" s="199">
        <v>36</v>
      </c>
      <c r="C53" s="209" t="s">
        <v>339</v>
      </c>
      <c r="D53" s="200" t="s">
        <v>158</v>
      </c>
      <c r="E53" s="200" t="s">
        <v>56</v>
      </c>
      <c r="F53" s="201">
        <v>15</v>
      </c>
      <c r="G53" s="194">
        <v>220.8</v>
      </c>
      <c r="H53" s="116">
        <f t="shared" si="35"/>
        <v>3312</v>
      </c>
      <c r="I53" s="151">
        <v>0</v>
      </c>
      <c r="J53" s="151">
        <f t="shared" si="27"/>
        <v>0</v>
      </c>
      <c r="K53" s="151">
        <f t="shared" si="28"/>
        <v>0</v>
      </c>
      <c r="L53" s="116">
        <f t="shared" si="29"/>
        <v>3312</v>
      </c>
      <c r="M53" s="120"/>
      <c r="N53" s="48"/>
    </row>
    <row r="54" spans="1:14" ht="30" customHeight="1" x14ac:dyDescent="0.2">
      <c r="B54" s="199">
        <v>37</v>
      </c>
      <c r="C54" s="209" t="s">
        <v>339</v>
      </c>
      <c r="D54" s="200" t="s">
        <v>157</v>
      </c>
      <c r="E54" s="200" t="s">
        <v>56</v>
      </c>
      <c r="F54" s="201">
        <v>15</v>
      </c>
      <c r="G54" s="194">
        <v>220.8</v>
      </c>
      <c r="H54" s="116">
        <f t="shared" si="35"/>
        <v>3312</v>
      </c>
      <c r="I54" s="151">
        <v>0</v>
      </c>
      <c r="J54" s="151">
        <f t="shared" si="27"/>
        <v>0</v>
      </c>
      <c r="K54" s="151">
        <f t="shared" si="28"/>
        <v>0</v>
      </c>
      <c r="L54" s="116">
        <f t="shared" si="29"/>
        <v>3312</v>
      </c>
      <c r="M54" s="120"/>
      <c r="N54" s="48"/>
    </row>
    <row r="55" spans="1:14" ht="30" customHeight="1" x14ac:dyDescent="0.2">
      <c r="B55" s="199">
        <v>38</v>
      </c>
      <c r="C55" s="209" t="s">
        <v>339</v>
      </c>
      <c r="D55" s="200" t="s">
        <v>460</v>
      </c>
      <c r="E55" s="200" t="s">
        <v>56</v>
      </c>
      <c r="F55" s="201">
        <v>15</v>
      </c>
      <c r="G55" s="194">
        <v>220.8</v>
      </c>
      <c r="H55" s="116">
        <f t="shared" si="35"/>
        <v>3312</v>
      </c>
      <c r="I55" s="151">
        <v>0</v>
      </c>
      <c r="J55" s="151">
        <f t="shared" si="27"/>
        <v>0</v>
      </c>
      <c r="K55" s="151">
        <f t="shared" si="28"/>
        <v>0</v>
      </c>
      <c r="L55" s="116">
        <f t="shared" si="29"/>
        <v>3312</v>
      </c>
      <c r="M55" s="120"/>
      <c r="N55" s="48"/>
    </row>
    <row r="56" spans="1:14" ht="30" customHeight="1" x14ac:dyDescent="0.2">
      <c r="B56" s="199">
        <v>39</v>
      </c>
      <c r="C56" s="209" t="s">
        <v>339</v>
      </c>
      <c r="D56" s="200" t="s">
        <v>448</v>
      </c>
      <c r="E56" s="200" t="s">
        <v>56</v>
      </c>
      <c r="F56" s="201">
        <v>15</v>
      </c>
      <c r="G56" s="194">
        <v>220.8</v>
      </c>
      <c r="H56" s="116">
        <f t="shared" ref="H56" si="36">ROUND(F56*G56,2)</f>
        <v>3312</v>
      </c>
      <c r="I56" s="151">
        <v>0</v>
      </c>
      <c r="J56" s="151">
        <f t="shared" ref="J56" si="37">IF(G56&lt;=248.93,0,(IFERROR(IF(ROUND((((H56/F56*30.4)-VLOOKUP((H56/F56*30.4),TARIFA,1))*VLOOKUP((H56/F56*30.4),TARIFA,3)+VLOOKUP((H56/F56*30.4),TARIFA,2)-VLOOKUP((H56/F56*30.4),SUBSIDIO,2))/30.4*F56,2)&gt;0,ROUND((((H56/F56*30.4)-VLOOKUP((H56/F56*30.4),TARIFA,1))*VLOOKUP((H56/F56*30.4),TARIFA,3)+VLOOKUP((H56/F56*30.4),TARIFA,2)-VLOOKUP((H56/F56*30.4),SUBSIDIO,2))/30.4*F56,2),0),0)))</f>
        <v>0</v>
      </c>
      <c r="K56" s="151">
        <f t="shared" ref="K56" si="38">J56</f>
        <v>0</v>
      </c>
      <c r="L56" s="116">
        <f t="shared" ref="L56" si="39">H56+I56-K56</f>
        <v>3312</v>
      </c>
      <c r="M56" s="120"/>
      <c r="N56" s="48"/>
    </row>
    <row r="57" spans="1:14" ht="30" customHeight="1" x14ac:dyDescent="0.2">
      <c r="B57" s="199">
        <v>40</v>
      </c>
      <c r="C57" s="209" t="s">
        <v>339</v>
      </c>
      <c r="D57" s="200" t="s">
        <v>351</v>
      </c>
      <c r="E57" s="200" t="s">
        <v>352</v>
      </c>
      <c r="F57" s="201">
        <v>15</v>
      </c>
      <c r="G57" s="194">
        <v>166.101</v>
      </c>
      <c r="H57" s="116">
        <f>ROUND(F57*G57,2)</f>
        <v>2491.52</v>
      </c>
      <c r="I57" s="151">
        <v>0</v>
      </c>
      <c r="J57" s="151">
        <f t="shared" si="27"/>
        <v>0</v>
      </c>
      <c r="K57" s="151">
        <v>0</v>
      </c>
      <c r="L57" s="116">
        <f>H57+I57-K57</f>
        <v>2491.52</v>
      </c>
      <c r="M57" s="120"/>
      <c r="N57" s="48"/>
    </row>
    <row r="58" spans="1:14" ht="30" customHeight="1" x14ac:dyDescent="0.2">
      <c r="B58" s="199">
        <v>41</v>
      </c>
      <c r="C58" s="209" t="s">
        <v>339</v>
      </c>
      <c r="D58" s="200" t="s">
        <v>443</v>
      </c>
      <c r="E58" s="200" t="s">
        <v>69</v>
      </c>
      <c r="F58" s="201">
        <v>15</v>
      </c>
      <c r="G58" s="194">
        <v>151.03</v>
      </c>
      <c r="H58" s="116">
        <f>ROUND(F58*G58,2)</f>
        <v>2265.4499999999998</v>
      </c>
      <c r="I58" s="151">
        <v>0</v>
      </c>
      <c r="J58" s="151">
        <f t="shared" ref="J58" si="40">IF(G58&lt;=248.93,0,(IFERROR(IF(ROUND((((H58/F58*30.4)-VLOOKUP((H58/F58*30.4),TARIFA,1))*VLOOKUP((H58/F58*30.4),TARIFA,3)+VLOOKUP((H58/F58*30.4),TARIFA,2)-VLOOKUP((H58/F58*30.4),SUBSIDIO,2))/30.4*F58,2)&gt;0,ROUND((((H58/F58*30.4)-VLOOKUP((H58/F58*30.4),TARIFA,1))*VLOOKUP((H58/F58*30.4),TARIFA,3)+VLOOKUP((H58/F58*30.4),TARIFA,2)-VLOOKUP((H58/F58*30.4),SUBSIDIO,2))/30.4*F58,2),0),0)))</f>
        <v>0</v>
      </c>
      <c r="K58" s="151">
        <v>0</v>
      </c>
      <c r="L58" s="116">
        <f>H58+I58-K58</f>
        <v>2265.4499999999998</v>
      </c>
      <c r="M58" s="120"/>
      <c r="N58" s="48"/>
    </row>
    <row r="59" spans="1:14" ht="30" customHeight="1" x14ac:dyDescent="0.2">
      <c r="B59" s="199">
        <v>42</v>
      </c>
      <c r="C59" s="209" t="s">
        <v>339</v>
      </c>
      <c r="D59" s="200" t="s">
        <v>478</v>
      </c>
      <c r="E59" s="200" t="s">
        <v>69</v>
      </c>
      <c r="F59" s="201">
        <v>15</v>
      </c>
      <c r="G59" s="194">
        <v>151.03</v>
      </c>
      <c r="H59" s="116">
        <f>ROUND(F59*G59,2)</f>
        <v>2265.4499999999998</v>
      </c>
      <c r="I59" s="151">
        <v>0</v>
      </c>
      <c r="J59" s="151">
        <f t="shared" ref="J59" si="41">IF(G59&lt;=248.93,0,(IFERROR(IF(ROUND((((H59/F59*30.4)-VLOOKUP((H59/F59*30.4),TARIFA,1))*VLOOKUP((H59/F59*30.4),TARIFA,3)+VLOOKUP((H59/F59*30.4),TARIFA,2)-VLOOKUP((H59/F59*30.4),SUBSIDIO,2))/30.4*F59,2)&gt;0,ROUND((((H59/F59*30.4)-VLOOKUP((H59/F59*30.4),TARIFA,1))*VLOOKUP((H59/F59*30.4),TARIFA,3)+VLOOKUP((H59/F59*30.4),TARIFA,2)-VLOOKUP((H59/F59*30.4),SUBSIDIO,2))/30.4*F59,2),0),0)))</f>
        <v>0</v>
      </c>
      <c r="K59" s="151">
        <v>0</v>
      </c>
      <c r="L59" s="116">
        <f>H59+I59-K59</f>
        <v>2265.4499999999998</v>
      </c>
      <c r="M59" s="120"/>
      <c r="N59" s="48"/>
    </row>
    <row r="60" spans="1:14" ht="30" customHeight="1" x14ac:dyDescent="0.2">
      <c r="B60" s="199">
        <v>43</v>
      </c>
      <c r="C60" s="209" t="s">
        <v>339</v>
      </c>
      <c r="D60" s="200" t="s">
        <v>489</v>
      </c>
      <c r="E60" s="200" t="s">
        <v>69</v>
      </c>
      <c r="F60" s="201">
        <v>15</v>
      </c>
      <c r="G60" s="194">
        <v>160</v>
      </c>
      <c r="H60" s="116">
        <f>ROUND(F60*G60,2)</f>
        <v>2400</v>
      </c>
      <c r="I60" s="151">
        <v>0</v>
      </c>
      <c r="J60" s="151">
        <f t="shared" ref="J60" si="42">IF(G60&lt;=248.93,0,(IFERROR(IF(ROUND((((H60/F60*30.4)-VLOOKUP((H60/F60*30.4),TARIFA,1))*VLOOKUP((H60/F60*30.4),TARIFA,3)+VLOOKUP((H60/F60*30.4),TARIFA,2)-VLOOKUP((H60/F60*30.4),SUBSIDIO,2))/30.4*F60,2)&gt;0,ROUND((((H60/F60*30.4)-VLOOKUP((H60/F60*30.4),TARIFA,1))*VLOOKUP((H60/F60*30.4),TARIFA,3)+VLOOKUP((H60/F60*30.4),TARIFA,2)-VLOOKUP((H60/F60*30.4),SUBSIDIO,2))/30.4*F60,2),0),0)))</f>
        <v>0</v>
      </c>
      <c r="K60" s="151">
        <v>0</v>
      </c>
      <c r="L60" s="116">
        <f>H60+I60-K60</f>
        <v>2400</v>
      </c>
      <c r="M60" s="120"/>
      <c r="N60" s="48"/>
    </row>
    <row r="61" spans="1:14" ht="30" customHeight="1" x14ac:dyDescent="0.2">
      <c r="B61" s="199">
        <v>44</v>
      </c>
      <c r="C61" s="209" t="s">
        <v>339</v>
      </c>
      <c r="D61" s="200" t="s">
        <v>488</v>
      </c>
      <c r="E61" s="200" t="s">
        <v>467</v>
      </c>
      <c r="F61" s="201">
        <v>15</v>
      </c>
      <c r="G61" s="194">
        <v>113.94058</v>
      </c>
      <c r="H61" s="116">
        <f>ROUND(F61*G61,2)</f>
        <v>1709.11</v>
      </c>
      <c r="I61" s="151">
        <v>0</v>
      </c>
      <c r="J61" s="151">
        <f t="shared" ref="J61" si="43">IF(G61&lt;=248.93,0,(IFERROR(IF(ROUND((((H61/F61*30.4)-VLOOKUP((H61/F61*30.4),TARIFA,1))*VLOOKUP((H61/F61*30.4),TARIFA,3)+VLOOKUP((H61/F61*30.4),TARIFA,2)-VLOOKUP((H61/F61*30.4),SUBSIDIO,2))/30.4*F61,2)&gt;0,ROUND((((H61/F61*30.4)-VLOOKUP((H61/F61*30.4),TARIFA,1))*VLOOKUP((H61/F61*30.4),TARIFA,3)+VLOOKUP((H61/F61*30.4),TARIFA,2)-VLOOKUP((H61/F61*30.4),SUBSIDIO,2))/30.4*F61,2),0),0)))</f>
        <v>0</v>
      </c>
      <c r="K61" s="151">
        <v>0</v>
      </c>
      <c r="L61" s="116">
        <f>H61+I61-K61</f>
        <v>1709.11</v>
      </c>
      <c r="M61" s="120"/>
      <c r="N61" s="48"/>
    </row>
    <row r="62" spans="1:14" ht="30" customHeight="1" x14ac:dyDescent="0.2">
      <c r="B62" s="199"/>
      <c r="C62" s="209"/>
      <c r="D62" s="200"/>
      <c r="E62" s="215" t="s">
        <v>33</v>
      </c>
      <c r="F62" s="402"/>
      <c r="G62" s="403"/>
      <c r="H62" s="117">
        <f>SUM(H44:H61)</f>
        <v>45848.80999999999</v>
      </c>
      <c r="I62" s="152">
        <f>SUM(I44:I61)</f>
        <v>0</v>
      </c>
      <c r="J62" s="152">
        <f>SUM(J44:J61)</f>
        <v>0</v>
      </c>
      <c r="K62" s="152">
        <f>SUM(K44:K61)</f>
        <v>0</v>
      </c>
      <c r="L62" s="117">
        <f>SUM(L44:L61)</f>
        <v>45848.80999999999</v>
      </c>
      <c r="M62" s="121">
        <f>SUM(M44:M58)</f>
        <v>0</v>
      </c>
      <c r="N62" s="48"/>
    </row>
    <row r="63" spans="1:14" ht="30" customHeight="1" x14ac:dyDescent="0.2">
      <c r="B63" s="404" t="s">
        <v>44</v>
      </c>
      <c r="C63" s="405"/>
      <c r="D63" s="406"/>
      <c r="E63" s="406"/>
      <c r="F63" s="406"/>
      <c r="G63" s="406"/>
      <c r="H63" s="406"/>
      <c r="I63" s="406"/>
      <c r="J63" s="406"/>
      <c r="K63" s="406"/>
      <c r="L63" s="406"/>
      <c r="M63" s="407"/>
      <c r="N63" s="48"/>
    </row>
    <row r="64" spans="1:14" ht="30" customHeight="1" x14ac:dyDescent="0.2">
      <c r="B64" s="199">
        <v>45</v>
      </c>
      <c r="C64" s="209" t="s">
        <v>339</v>
      </c>
      <c r="D64" s="200" t="s">
        <v>193</v>
      </c>
      <c r="E64" s="200" t="s">
        <v>72</v>
      </c>
      <c r="F64" s="201">
        <v>15</v>
      </c>
      <c r="G64" s="212">
        <v>159.98240000000001</v>
      </c>
      <c r="H64" s="116">
        <f>ROUND(F64*G64,2)</f>
        <v>2399.7399999999998</v>
      </c>
      <c r="I64" s="151">
        <v>0</v>
      </c>
      <c r="J64" s="151">
        <f>IF(G64&lt;=248.93,0,(IFERROR(IF(ROUND((((H64/F64*30.4)-VLOOKUP((H64/F64*30.4),TARIFA,1))*VLOOKUP((H64/F64*30.4),TARIFA,3)+VLOOKUP((H64/F64*30.4),TARIFA,2)-VLOOKUP((H64/F64*30.4),SUBSIDIO,2))/30.4*F64,2)&gt;0,ROUND((((H64/F64*30.4)-VLOOKUP((H64/F64*30.4),TARIFA,1))*VLOOKUP((H64/F64*30.4),TARIFA,3)+VLOOKUP((H64/F64*30.4),TARIFA,2)-VLOOKUP((H64/F64*30.4),SUBSIDIO,2))/30.4*F64,2),0),0)))</f>
        <v>0</v>
      </c>
      <c r="K64" s="151">
        <f>J64</f>
        <v>0</v>
      </c>
      <c r="L64" s="116">
        <f>H64+I64-K64</f>
        <v>2399.7399999999998</v>
      </c>
      <c r="M64" s="120"/>
      <c r="N64" s="48"/>
    </row>
    <row r="65" spans="2:14" ht="30" customHeight="1" x14ac:dyDescent="0.2">
      <c r="B65" s="199">
        <v>46</v>
      </c>
      <c r="C65" s="209" t="s">
        <v>339</v>
      </c>
      <c r="D65" s="200" t="s">
        <v>194</v>
      </c>
      <c r="E65" s="200" t="s">
        <v>65</v>
      </c>
      <c r="F65" s="201">
        <v>15</v>
      </c>
      <c r="G65" s="212">
        <v>213.13300000000001</v>
      </c>
      <c r="H65" s="116">
        <f>ROUND(F65*G65,2)</f>
        <v>3197</v>
      </c>
      <c r="I65" s="151">
        <v>0</v>
      </c>
      <c r="J65" s="151">
        <f>IF(G65&lt;=248.93,0,(IFERROR(IF(ROUND((((H65/F65*30.4)-VLOOKUP((H65/F65*30.4),TARIFA,1))*VLOOKUP((H65/F65*30.4),TARIFA,3)+VLOOKUP((H65/F65*30.4),TARIFA,2)-VLOOKUP((H65/F65*30.4),SUBSIDIO,2))/30.4*F65,2)&gt;0,ROUND((((H65/F65*30.4)-VLOOKUP((H65/F65*30.4),TARIFA,1))*VLOOKUP((H65/F65*30.4),TARIFA,3)+VLOOKUP((H65/F65*30.4),TARIFA,2)-VLOOKUP((H65/F65*30.4),SUBSIDIO,2))/30.4*F65,2),0),0)))</f>
        <v>0</v>
      </c>
      <c r="K65" s="151">
        <f>J65</f>
        <v>0</v>
      </c>
      <c r="L65" s="116">
        <f>H65+I65-K65</f>
        <v>3197</v>
      </c>
      <c r="M65" s="120"/>
      <c r="N65" s="48"/>
    </row>
    <row r="66" spans="2:14" ht="30" customHeight="1" x14ac:dyDescent="0.2">
      <c r="B66" s="199">
        <v>47</v>
      </c>
      <c r="C66" s="209" t="s">
        <v>339</v>
      </c>
      <c r="D66" s="200" t="s">
        <v>195</v>
      </c>
      <c r="E66" s="200" t="s">
        <v>65</v>
      </c>
      <c r="F66" s="201">
        <v>15</v>
      </c>
      <c r="G66" s="212">
        <v>261.8</v>
      </c>
      <c r="H66" s="116">
        <f>ROUND(F66*G66,2)</f>
        <v>3927</v>
      </c>
      <c r="I66" s="151">
        <v>0</v>
      </c>
      <c r="J66" s="116">
        <f>IF(G66&lt;=248.93,0,(IFERROR(IF(ROUND((((H66/F66*30.4)-VLOOKUP((H66/F66*30.4),TARIFA,1))*VLOOKUP((H66/F66*30.4),TARIFA,3)+VLOOKUP((H66/F66*30.4),TARIFA,2)-VLOOKUP((H66/F66*30.4),SUBSIDIO,2))/30.4*F66,2)&gt;0,ROUND((((H66/F66*30.4)-VLOOKUP((H66/F66*30.4),TARIFA,1))*VLOOKUP((H66/F66*30.4),TARIFA,3)+VLOOKUP((H66/F66*30.4),TARIFA,2)-VLOOKUP((H66/F66*30.4),SUBSIDIO,2))/30.4*F66,2),0),0)))</f>
        <v>78.36</v>
      </c>
      <c r="K66" s="116">
        <f>J66</f>
        <v>78.36</v>
      </c>
      <c r="L66" s="116">
        <f>H66+I66-K66</f>
        <v>3848.64</v>
      </c>
      <c r="M66" s="120"/>
      <c r="N66" s="48"/>
    </row>
    <row r="67" spans="2:14" ht="30" customHeight="1" x14ac:dyDescent="0.2">
      <c r="B67" s="199">
        <v>48</v>
      </c>
      <c r="C67" s="209" t="s">
        <v>339</v>
      </c>
      <c r="D67" s="200" t="s">
        <v>259</v>
      </c>
      <c r="E67" s="200" t="s">
        <v>260</v>
      </c>
      <c r="F67" s="201">
        <v>15</v>
      </c>
      <c r="G67" s="212">
        <v>315.13299999999998</v>
      </c>
      <c r="H67" s="116">
        <f>ROUND(F67*G67,2)</f>
        <v>4727</v>
      </c>
      <c r="I67" s="151">
        <v>0</v>
      </c>
      <c r="J67" s="116">
        <f>IF(G67&lt;=248.93,0,(IFERROR(IF(ROUND((((H67/F67*30.4)-VLOOKUP((H67/F67*30.4),TARIFA,1))*VLOOKUP((H67/F67*30.4),TARIFA,3)+VLOOKUP((H67/F67*30.4),TARIFA,2)-VLOOKUP((H67/F67*30.4),SUBSIDIO,2))/30.4*F67,2)&gt;0,ROUND((((H67/F67*30.4)-VLOOKUP((H67/F67*30.4),TARIFA,1))*VLOOKUP((H67/F67*30.4),TARIFA,3)+VLOOKUP((H67/F67*30.4),TARIFA,2)-VLOOKUP((H67/F67*30.4),SUBSIDIO,2))/30.4*F67,2),0),0)))</f>
        <v>357.83</v>
      </c>
      <c r="K67" s="116">
        <f>J67</f>
        <v>357.83</v>
      </c>
      <c r="L67" s="116">
        <f>H67+I67-K67</f>
        <v>4369.17</v>
      </c>
      <c r="M67" s="120"/>
      <c r="N67" s="48"/>
    </row>
    <row r="68" spans="2:14" ht="30" customHeight="1" x14ac:dyDescent="0.2">
      <c r="B68" s="199"/>
      <c r="C68" s="209"/>
      <c r="D68" s="200"/>
      <c r="E68" s="211" t="s">
        <v>33</v>
      </c>
      <c r="F68" s="402"/>
      <c r="G68" s="403"/>
      <c r="H68" s="117">
        <f>SUM(H64:H67)</f>
        <v>14250.74</v>
      </c>
      <c r="I68" s="152">
        <f t="shared" ref="I68:M68" si="44">SUM(I64:I67)</f>
        <v>0</v>
      </c>
      <c r="J68" s="117">
        <f t="shared" si="44"/>
        <v>436.19</v>
      </c>
      <c r="K68" s="117">
        <f t="shared" si="44"/>
        <v>436.19</v>
      </c>
      <c r="L68" s="117">
        <f>SUM(L64:L67)</f>
        <v>13814.55</v>
      </c>
      <c r="M68" s="121">
        <f t="shared" si="44"/>
        <v>0</v>
      </c>
      <c r="N68" s="48"/>
    </row>
    <row r="69" spans="2:14" ht="30" customHeight="1" x14ac:dyDescent="0.2">
      <c r="B69" s="404" t="s">
        <v>46</v>
      </c>
      <c r="C69" s="405"/>
      <c r="D69" s="406"/>
      <c r="E69" s="406"/>
      <c r="F69" s="406"/>
      <c r="G69" s="406"/>
      <c r="H69" s="406"/>
      <c r="I69" s="406"/>
      <c r="J69" s="406"/>
      <c r="K69" s="406"/>
      <c r="L69" s="406"/>
      <c r="M69" s="407"/>
      <c r="N69" s="48"/>
    </row>
    <row r="70" spans="2:14" ht="30" customHeight="1" x14ac:dyDescent="0.2">
      <c r="B70" s="199">
        <v>49</v>
      </c>
      <c r="C70" s="209" t="s">
        <v>339</v>
      </c>
      <c r="D70" s="200" t="s">
        <v>196</v>
      </c>
      <c r="E70" s="200" t="s">
        <v>47</v>
      </c>
      <c r="F70" s="201">
        <v>15</v>
      </c>
      <c r="G70" s="194">
        <v>181.8</v>
      </c>
      <c r="H70" s="116">
        <f t="shared" ref="H70:H74" si="45">ROUND(F70*G70,2)</f>
        <v>2727</v>
      </c>
      <c r="I70" s="151">
        <v>0</v>
      </c>
      <c r="J70" s="151">
        <f t="shared" ref="J70:J76" si="46">IF(G70&lt;=248.93,0,(IFERROR(IF(ROUND((((H70/F70*30.4)-VLOOKUP((H70/F70*30.4),TARIFA,1))*VLOOKUP((H70/F70*30.4),TARIFA,3)+VLOOKUP((H70/F70*30.4),TARIFA,2)-VLOOKUP((H70/F70*30.4),SUBSIDIO,2))/30.4*F70,2)&gt;0,ROUND((((H70/F70*30.4)-VLOOKUP((H70/F70*30.4),TARIFA,1))*VLOOKUP((H70/F70*30.4),TARIFA,3)+VLOOKUP((H70/F70*30.4),TARIFA,2)-VLOOKUP((H70/F70*30.4),SUBSIDIO,2))/30.4*F70,2),0),0)))</f>
        <v>0</v>
      </c>
      <c r="K70" s="151">
        <f t="shared" ref="K70:K75" si="47">J70</f>
        <v>0</v>
      </c>
      <c r="L70" s="116">
        <f t="shared" ref="L70:L75" si="48">H70+I70-K70</f>
        <v>2727</v>
      </c>
      <c r="M70" s="120"/>
      <c r="N70" s="48"/>
    </row>
    <row r="71" spans="2:14" ht="30" customHeight="1" x14ac:dyDescent="0.2">
      <c r="B71" s="199">
        <v>50</v>
      </c>
      <c r="C71" s="209" t="s">
        <v>339</v>
      </c>
      <c r="D71" s="200" t="s">
        <v>197</v>
      </c>
      <c r="E71" s="200" t="s">
        <v>54</v>
      </c>
      <c r="F71" s="201">
        <v>15</v>
      </c>
      <c r="G71" s="194">
        <v>138.10599999999999</v>
      </c>
      <c r="H71" s="116">
        <f t="shared" si="45"/>
        <v>2071.59</v>
      </c>
      <c r="I71" s="151">
        <v>0</v>
      </c>
      <c r="J71" s="151">
        <f t="shared" si="46"/>
        <v>0</v>
      </c>
      <c r="K71" s="151">
        <f t="shared" si="47"/>
        <v>0</v>
      </c>
      <c r="L71" s="116">
        <f t="shared" si="48"/>
        <v>2071.59</v>
      </c>
      <c r="M71" s="120"/>
      <c r="N71" s="48"/>
    </row>
    <row r="72" spans="2:14" ht="30" customHeight="1" x14ac:dyDescent="0.2">
      <c r="B72" s="199">
        <v>51</v>
      </c>
      <c r="C72" s="209" t="s">
        <v>339</v>
      </c>
      <c r="D72" s="200" t="s">
        <v>374</v>
      </c>
      <c r="E72" s="200" t="s">
        <v>54</v>
      </c>
      <c r="F72" s="201">
        <v>15</v>
      </c>
      <c r="G72" s="194">
        <v>146.66659999999999</v>
      </c>
      <c r="H72" s="116">
        <f t="shared" si="45"/>
        <v>2200</v>
      </c>
      <c r="I72" s="151">
        <v>0</v>
      </c>
      <c r="J72" s="151">
        <f t="shared" si="46"/>
        <v>0</v>
      </c>
      <c r="K72" s="151">
        <f t="shared" si="47"/>
        <v>0</v>
      </c>
      <c r="L72" s="116">
        <f t="shared" si="48"/>
        <v>2200</v>
      </c>
      <c r="M72" s="120"/>
      <c r="N72" s="48"/>
    </row>
    <row r="73" spans="2:14" ht="30" customHeight="1" x14ac:dyDescent="0.2">
      <c r="B73" s="199">
        <v>52</v>
      </c>
      <c r="C73" s="209"/>
      <c r="D73" s="200" t="s">
        <v>198</v>
      </c>
      <c r="E73" s="200" t="s">
        <v>54</v>
      </c>
      <c r="F73" s="201">
        <v>15</v>
      </c>
      <c r="G73" s="194">
        <v>153.333</v>
      </c>
      <c r="H73" s="116">
        <f t="shared" si="45"/>
        <v>2300</v>
      </c>
      <c r="I73" s="151">
        <v>0</v>
      </c>
      <c r="J73" s="151">
        <f t="shared" si="46"/>
        <v>0</v>
      </c>
      <c r="K73" s="151">
        <f t="shared" si="47"/>
        <v>0</v>
      </c>
      <c r="L73" s="116">
        <f t="shared" si="48"/>
        <v>2300</v>
      </c>
      <c r="M73" s="120"/>
      <c r="N73" s="48"/>
    </row>
    <row r="74" spans="2:14" ht="30" customHeight="1" x14ac:dyDescent="0.2">
      <c r="B74" s="199">
        <v>53</v>
      </c>
      <c r="C74" s="209"/>
      <c r="D74" s="200" t="s">
        <v>199</v>
      </c>
      <c r="E74" s="200" t="s">
        <v>54</v>
      </c>
      <c r="F74" s="201">
        <v>15</v>
      </c>
      <c r="G74" s="194">
        <v>153.333</v>
      </c>
      <c r="H74" s="116">
        <f t="shared" si="45"/>
        <v>2300</v>
      </c>
      <c r="I74" s="151">
        <v>0</v>
      </c>
      <c r="J74" s="151">
        <f t="shared" si="46"/>
        <v>0</v>
      </c>
      <c r="K74" s="151">
        <f t="shared" si="47"/>
        <v>0</v>
      </c>
      <c r="L74" s="116">
        <f t="shared" si="48"/>
        <v>2300</v>
      </c>
      <c r="M74" s="120"/>
      <c r="N74" s="48"/>
    </row>
    <row r="75" spans="2:14" ht="30" customHeight="1" x14ac:dyDescent="0.2">
      <c r="B75" s="199">
        <v>54</v>
      </c>
      <c r="C75" s="209" t="s">
        <v>339</v>
      </c>
      <c r="D75" s="216" t="s">
        <v>148</v>
      </c>
      <c r="E75" s="200" t="s">
        <v>54</v>
      </c>
      <c r="F75" s="201">
        <v>15</v>
      </c>
      <c r="G75" s="194">
        <v>111.819</v>
      </c>
      <c r="H75" s="116">
        <f>ROUND(F75*G75,2)</f>
        <v>1677.29</v>
      </c>
      <c r="I75" s="151">
        <v>0</v>
      </c>
      <c r="J75" s="151">
        <f t="shared" si="46"/>
        <v>0</v>
      </c>
      <c r="K75" s="151">
        <f t="shared" si="47"/>
        <v>0</v>
      </c>
      <c r="L75" s="116">
        <f t="shared" si="48"/>
        <v>1677.29</v>
      </c>
      <c r="M75" s="120"/>
      <c r="N75" s="48"/>
    </row>
    <row r="76" spans="2:14" ht="30" customHeight="1" x14ac:dyDescent="0.2">
      <c r="B76" s="199">
        <v>55</v>
      </c>
      <c r="C76" s="209" t="s">
        <v>339</v>
      </c>
      <c r="D76" s="216" t="s">
        <v>349</v>
      </c>
      <c r="E76" s="200" t="s">
        <v>345</v>
      </c>
      <c r="F76" s="201">
        <v>15</v>
      </c>
      <c r="G76" s="194">
        <v>544.6</v>
      </c>
      <c r="H76" s="116">
        <f>ROUND(F76*G76,2)</f>
        <v>8169</v>
      </c>
      <c r="I76" s="151">
        <v>0</v>
      </c>
      <c r="J76" s="151">
        <f t="shared" si="46"/>
        <v>921.87</v>
      </c>
      <c r="K76" s="151">
        <f>J76</f>
        <v>921.87</v>
      </c>
      <c r="L76" s="116">
        <f>H76+I76-K76</f>
        <v>7247.13</v>
      </c>
      <c r="M76" s="120"/>
      <c r="N76" s="48"/>
    </row>
    <row r="77" spans="2:14" ht="30" customHeight="1" x14ac:dyDescent="0.2">
      <c r="B77" s="199">
        <v>56</v>
      </c>
      <c r="C77" s="209" t="s">
        <v>339</v>
      </c>
      <c r="D77" s="216" t="s">
        <v>458</v>
      </c>
      <c r="E77" s="200" t="s">
        <v>42</v>
      </c>
      <c r="F77" s="357">
        <v>15</v>
      </c>
      <c r="G77" s="194">
        <v>138.10599999999999</v>
      </c>
      <c r="H77" s="116">
        <f>ROUND(F77*G77,2)</f>
        <v>2071.59</v>
      </c>
      <c r="I77" s="151">
        <v>0</v>
      </c>
      <c r="J77" s="151">
        <v>0</v>
      </c>
      <c r="K77" s="151">
        <v>0</v>
      </c>
      <c r="L77" s="116">
        <f>H77+I77-K77</f>
        <v>2071.59</v>
      </c>
      <c r="M77" s="120"/>
      <c r="N77" s="48"/>
    </row>
    <row r="78" spans="2:14" ht="30" customHeight="1" x14ac:dyDescent="0.2">
      <c r="B78" s="199"/>
      <c r="C78" s="209"/>
      <c r="D78" s="200"/>
      <c r="E78" s="211" t="s">
        <v>33</v>
      </c>
      <c r="F78" s="402"/>
      <c r="G78" s="403"/>
      <c r="H78" s="117">
        <f>SUM(H70:H77)</f>
        <v>23516.47</v>
      </c>
      <c r="I78" s="152">
        <f>SUM(I70:I77)</f>
        <v>0</v>
      </c>
      <c r="J78" s="117">
        <f>SUM(J70:J77)</f>
        <v>921.87</v>
      </c>
      <c r="K78" s="117">
        <f>SUM(K70:K77)</f>
        <v>921.87</v>
      </c>
      <c r="L78" s="117">
        <f>SUM(L70:L77)</f>
        <v>22594.600000000002</v>
      </c>
      <c r="M78" s="121">
        <f>SUM(M70:M75)</f>
        <v>0</v>
      </c>
      <c r="N78" s="48"/>
    </row>
    <row r="79" spans="2:14" ht="30" customHeight="1" x14ac:dyDescent="0.2">
      <c r="B79" s="404" t="s">
        <v>64</v>
      </c>
      <c r="C79" s="405"/>
      <c r="D79" s="406"/>
      <c r="E79" s="406"/>
      <c r="F79" s="406"/>
      <c r="G79" s="406"/>
      <c r="H79" s="406"/>
      <c r="I79" s="406"/>
      <c r="J79" s="406"/>
      <c r="K79" s="406"/>
      <c r="L79" s="406"/>
      <c r="M79" s="407"/>
      <c r="N79" s="48"/>
    </row>
    <row r="80" spans="2:14" s="5" customFormat="1" ht="30" customHeight="1" x14ac:dyDescent="0.2">
      <c r="B80" s="199">
        <v>57</v>
      </c>
      <c r="C80" s="209"/>
      <c r="D80" s="200" t="s">
        <v>200</v>
      </c>
      <c r="E80" s="200" t="s">
        <v>35</v>
      </c>
      <c r="F80" s="201">
        <v>15</v>
      </c>
      <c r="G80" s="212">
        <v>315.13299999999998</v>
      </c>
      <c r="H80" s="116">
        <f>ROUND(F80*G80,2)</f>
        <v>4727</v>
      </c>
      <c r="I80" s="151">
        <v>0</v>
      </c>
      <c r="J80" s="116">
        <f>IF(G80&lt;=248.93,0,(IFERROR(IF(ROUND((((H80/F80*30.4)-VLOOKUP((H80/F80*30.4),TARIFA,1))*VLOOKUP((H80/F80*30.4),TARIFA,3)+VLOOKUP((H80/F80*30.4),TARIFA,2)-VLOOKUP((H80/F80*30.4),SUBSIDIO,2))/30.4*F80,2)&gt;0,ROUND((((H80/F80*30.4)-VLOOKUP((H80/F80*30.4),TARIFA,1))*VLOOKUP((H80/F80*30.4),TARIFA,3)+VLOOKUP((H80/F80*30.4),TARIFA,2)-VLOOKUP((H80/F80*30.4),SUBSIDIO,2))/30.4*F80,2),0),0)))</f>
        <v>357.83</v>
      </c>
      <c r="K80" s="116">
        <f>J80</f>
        <v>357.83</v>
      </c>
      <c r="L80" s="116">
        <f>H80+I80-K80</f>
        <v>4369.17</v>
      </c>
      <c r="M80" s="120"/>
      <c r="N80" s="48"/>
    </row>
    <row r="81" spans="2:14" ht="30" customHeight="1" x14ac:dyDescent="0.2">
      <c r="B81" s="199">
        <v>58</v>
      </c>
      <c r="C81" s="209"/>
      <c r="D81" s="200" t="s">
        <v>468</v>
      </c>
      <c r="E81" s="200" t="s">
        <v>54</v>
      </c>
      <c r="F81" s="201">
        <v>15</v>
      </c>
      <c r="G81" s="194">
        <v>113.94058</v>
      </c>
      <c r="H81" s="116">
        <f>ROUND(F81*G81,2)</f>
        <v>1709.11</v>
      </c>
      <c r="I81" s="151">
        <v>0</v>
      </c>
      <c r="J81" s="151">
        <f>IF(G81&lt;=248.93,0,(IFERROR(IF(ROUND((((H81/F81*30.4)-VLOOKUP((H81/F81*30.4),TARIFA,1))*VLOOKUP((H81/F81*30.4),TARIFA,3)+VLOOKUP((H81/F81*30.4),TARIFA,2)-VLOOKUP((H81/F81*30.4),SUBSIDIO,2))/30.4*F81,2)&gt;0,ROUND((((H81/F81*30.4)-VLOOKUP((H81/F81*30.4),TARIFA,1))*VLOOKUP((H81/F81*30.4),TARIFA,3)+VLOOKUP((H81/F81*30.4),TARIFA,2)-VLOOKUP((H81/F81*30.4),SUBSIDIO,2))/30.4*F81,2),0),0)))</f>
        <v>0</v>
      </c>
      <c r="K81" s="151">
        <f>J81</f>
        <v>0</v>
      </c>
      <c r="L81" s="116">
        <f>H81+I81-K81</f>
        <v>1709.11</v>
      </c>
      <c r="M81" s="120"/>
      <c r="N81" s="48"/>
    </row>
    <row r="82" spans="2:14" ht="30" customHeight="1" x14ac:dyDescent="0.2">
      <c r="B82" s="199"/>
      <c r="C82" s="209"/>
      <c r="D82" s="200"/>
      <c r="E82" s="211" t="s">
        <v>33</v>
      </c>
      <c r="F82" s="402"/>
      <c r="G82" s="403"/>
      <c r="H82" s="117">
        <f>SUM(H80:H81)</f>
        <v>6436.11</v>
      </c>
      <c r="I82" s="152">
        <f t="shared" ref="I82:M82" si="49">SUM(I80:I81)</f>
        <v>0</v>
      </c>
      <c r="J82" s="117">
        <f t="shared" si="49"/>
        <v>357.83</v>
      </c>
      <c r="K82" s="117">
        <f t="shared" si="49"/>
        <v>357.83</v>
      </c>
      <c r="L82" s="117">
        <f>SUM(L80:L81)</f>
        <v>6078.28</v>
      </c>
      <c r="M82" s="121">
        <f t="shared" si="49"/>
        <v>0</v>
      </c>
      <c r="N82" s="48"/>
    </row>
    <row r="83" spans="2:14" ht="30" customHeight="1" x14ac:dyDescent="0.2">
      <c r="B83" s="404" t="s">
        <v>50</v>
      </c>
      <c r="C83" s="405"/>
      <c r="D83" s="406"/>
      <c r="E83" s="406"/>
      <c r="F83" s="406"/>
      <c r="G83" s="406"/>
      <c r="H83" s="406"/>
      <c r="I83" s="406"/>
      <c r="J83" s="406"/>
      <c r="K83" s="406"/>
      <c r="L83" s="406"/>
      <c r="M83" s="407"/>
      <c r="N83" s="48"/>
    </row>
    <row r="84" spans="2:14" ht="30" customHeight="1" x14ac:dyDescent="0.2">
      <c r="B84" s="199">
        <v>59</v>
      </c>
      <c r="C84" s="209"/>
      <c r="D84" s="216" t="s">
        <v>375</v>
      </c>
      <c r="E84" s="200" t="s">
        <v>42</v>
      </c>
      <c r="F84" s="201">
        <v>15</v>
      </c>
      <c r="G84" s="194">
        <v>111.819</v>
      </c>
      <c r="H84" s="116">
        <f t="shared" ref="H84:H88" si="50">ROUND(F84*G84,2)</f>
        <v>1677.29</v>
      </c>
      <c r="I84" s="151">
        <v>0</v>
      </c>
      <c r="J84" s="151">
        <f t="shared" ref="J84:J88" si="51">IF(G84&lt;=248.93,0,(IFERROR(IF(ROUND((((H84/F84*30.4)-VLOOKUP((H84/F84*30.4),TARIFA,1))*VLOOKUP((H84/F84*30.4),TARIFA,3)+VLOOKUP((H84/F84*30.4),TARIFA,2)-VLOOKUP((H84/F84*30.4),SUBSIDIO,2))/30.4*F84,2)&gt;0,ROUND((((H84/F84*30.4)-VLOOKUP((H84/F84*30.4),TARIFA,1))*VLOOKUP((H84/F84*30.4),TARIFA,3)+VLOOKUP((H84/F84*30.4),TARIFA,2)-VLOOKUP((H84/F84*30.4),SUBSIDIO,2))/30.4*F84,2),0),0)))</f>
        <v>0</v>
      </c>
      <c r="K84" s="151">
        <f t="shared" ref="K84:K88" si="52">J84</f>
        <v>0</v>
      </c>
      <c r="L84" s="116">
        <f t="shared" ref="L84:L88" si="53">H84+I84-K84</f>
        <v>1677.29</v>
      </c>
      <c r="M84" s="120"/>
      <c r="N84" s="48"/>
    </row>
    <row r="85" spans="2:14" ht="30" customHeight="1" x14ac:dyDescent="0.2">
      <c r="B85" s="199">
        <v>60</v>
      </c>
      <c r="C85" s="209" t="s">
        <v>339</v>
      </c>
      <c r="D85" s="216" t="s">
        <v>201</v>
      </c>
      <c r="E85" s="200" t="s">
        <v>71</v>
      </c>
      <c r="F85" s="201">
        <v>15</v>
      </c>
      <c r="G85" s="194">
        <v>152.77699999999999</v>
      </c>
      <c r="H85" s="116">
        <f t="shared" si="50"/>
        <v>2291.66</v>
      </c>
      <c r="I85" s="151">
        <v>0</v>
      </c>
      <c r="J85" s="151">
        <f t="shared" si="51"/>
        <v>0</v>
      </c>
      <c r="K85" s="151">
        <f t="shared" si="52"/>
        <v>0</v>
      </c>
      <c r="L85" s="116">
        <f t="shared" si="53"/>
        <v>2291.66</v>
      </c>
      <c r="M85" s="120"/>
      <c r="N85" s="48"/>
    </row>
    <row r="86" spans="2:14" ht="30" customHeight="1" x14ac:dyDescent="0.2">
      <c r="B86" s="199">
        <v>61</v>
      </c>
      <c r="C86" s="209" t="s">
        <v>339</v>
      </c>
      <c r="D86" s="216" t="s">
        <v>346</v>
      </c>
      <c r="E86" s="200" t="s">
        <v>65</v>
      </c>
      <c r="F86" s="201">
        <v>15</v>
      </c>
      <c r="G86" s="194">
        <v>124.004</v>
      </c>
      <c r="H86" s="116">
        <f t="shared" si="50"/>
        <v>1860.06</v>
      </c>
      <c r="I86" s="151">
        <v>0</v>
      </c>
      <c r="J86" s="151">
        <f t="shared" si="51"/>
        <v>0</v>
      </c>
      <c r="K86" s="151">
        <f t="shared" si="52"/>
        <v>0</v>
      </c>
      <c r="L86" s="116">
        <f t="shared" si="53"/>
        <v>1860.06</v>
      </c>
      <c r="M86" s="120"/>
      <c r="N86" s="48"/>
    </row>
    <row r="87" spans="2:14" ht="30" customHeight="1" x14ac:dyDescent="0.2">
      <c r="B87" s="199">
        <v>62</v>
      </c>
      <c r="C87" s="209" t="s">
        <v>339</v>
      </c>
      <c r="D87" s="216" t="s">
        <v>202</v>
      </c>
      <c r="E87" s="200" t="s">
        <v>65</v>
      </c>
      <c r="F87" s="201">
        <v>15</v>
      </c>
      <c r="G87" s="194">
        <v>124.004</v>
      </c>
      <c r="H87" s="116">
        <f t="shared" si="50"/>
        <v>1860.06</v>
      </c>
      <c r="I87" s="151">
        <v>0</v>
      </c>
      <c r="J87" s="151">
        <f t="shared" si="51"/>
        <v>0</v>
      </c>
      <c r="K87" s="151">
        <f t="shared" si="52"/>
        <v>0</v>
      </c>
      <c r="L87" s="116">
        <f t="shared" si="53"/>
        <v>1860.06</v>
      </c>
      <c r="M87" s="120"/>
      <c r="N87" s="48"/>
    </row>
    <row r="88" spans="2:14" ht="30" customHeight="1" x14ac:dyDescent="0.2">
      <c r="B88" s="199">
        <v>63</v>
      </c>
      <c r="C88" s="209"/>
      <c r="D88" s="200" t="s">
        <v>203</v>
      </c>
      <c r="E88" s="200" t="s">
        <v>99</v>
      </c>
      <c r="F88" s="201">
        <v>15</v>
      </c>
      <c r="G88" s="194">
        <v>106.827</v>
      </c>
      <c r="H88" s="116">
        <f t="shared" si="50"/>
        <v>1602.41</v>
      </c>
      <c r="I88" s="151">
        <v>0</v>
      </c>
      <c r="J88" s="151">
        <f t="shared" si="51"/>
        <v>0</v>
      </c>
      <c r="K88" s="151">
        <f t="shared" si="52"/>
        <v>0</v>
      </c>
      <c r="L88" s="116">
        <f t="shared" si="53"/>
        <v>1602.41</v>
      </c>
      <c r="M88" s="120"/>
      <c r="N88" s="48"/>
    </row>
    <row r="89" spans="2:14" ht="30" customHeight="1" x14ac:dyDescent="0.2">
      <c r="B89" s="199">
        <v>64</v>
      </c>
      <c r="C89" s="209" t="s">
        <v>339</v>
      </c>
      <c r="D89" s="200" t="s">
        <v>451</v>
      </c>
      <c r="E89" s="200" t="s">
        <v>69</v>
      </c>
      <c r="F89" s="201">
        <v>15</v>
      </c>
      <c r="G89" s="194">
        <v>98.84</v>
      </c>
      <c r="H89" s="116">
        <f t="shared" ref="H89" si="54">ROUND(F89*G89,2)</f>
        <v>1482.6</v>
      </c>
      <c r="I89" s="151">
        <v>0</v>
      </c>
      <c r="J89" s="151">
        <f t="shared" ref="J89" si="55">IF(G89&lt;=248.93,0,(IFERROR(IF(ROUND((((H89/F89*30.4)-VLOOKUP((H89/F89*30.4),TARIFA,1))*VLOOKUP((H89/F89*30.4),TARIFA,3)+VLOOKUP((H89/F89*30.4),TARIFA,2)-VLOOKUP((H89/F89*30.4),SUBSIDIO,2))/30.4*F89,2)&gt;0,ROUND((((H89/F89*30.4)-VLOOKUP((H89/F89*30.4),TARIFA,1))*VLOOKUP((H89/F89*30.4),TARIFA,3)+VLOOKUP((H89/F89*30.4),TARIFA,2)-VLOOKUP((H89/F89*30.4),SUBSIDIO,2))/30.4*F89,2),0),0)))</f>
        <v>0</v>
      </c>
      <c r="K89" s="151">
        <f t="shared" ref="K89" si="56">J89</f>
        <v>0</v>
      </c>
      <c r="L89" s="116">
        <f t="shared" ref="L89" si="57">H89+I89-K89</f>
        <v>1482.6</v>
      </c>
      <c r="M89" s="120"/>
      <c r="N89" s="48"/>
    </row>
    <row r="90" spans="2:14" ht="30" customHeight="1" x14ac:dyDescent="0.2">
      <c r="B90" s="199"/>
      <c r="C90" s="209"/>
      <c r="D90" s="200"/>
      <c r="E90" s="211" t="s">
        <v>33</v>
      </c>
      <c r="F90" s="402"/>
      <c r="G90" s="403"/>
      <c r="H90" s="117">
        <f>SUM(H84:H89)</f>
        <v>10774.08</v>
      </c>
      <c r="I90" s="152">
        <f t="shared" ref="I90:K90" si="58">SUM(I84:I89)</f>
        <v>0</v>
      </c>
      <c r="J90" s="152">
        <f t="shared" si="58"/>
        <v>0</v>
      </c>
      <c r="K90" s="152">
        <f t="shared" si="58"/>
        <v>0</v>
      </c>
      <c r="L90" s="117">
        <f>SUM(L84:L89)</f>
        <v>10774.08</v>
      </c>
      <c r="M90" s="121">
        <f t="shared" ref="M90" si="59">SUM(M84:M88)</f>
        <v>0</v>
      </c>
      <c r="N90" s="48"/>
    </row>
    <row r="91" spans="2:14" ht="30" customHeight="1" x14ac:dyDescent="0.2">
      <c r="B91" s="404" t="s">
        <v>52</v>
      </c>
      <c r="C91" s="405"/>
      <c r="D91" s="406"/>
      <c r="E91" s="406"/>
      <c r="F91" s="406"/>
      <c r="G91" s="406"/>
      <c r="H91" s="406"/>
      <c r="I91" s="406"/>
      <c r="J91" s="406"/>
      <c r="K91" s="406"/>
      <c r="L91" s="406"/>
      <c r="M91" s="407"/>
      <c r="N91" s="48"/>
    </row>
    <row r="92" spans="2:14" s="5" customFormat="1" ht="30" customHeight="1" x14ac:dyDescent="0.2">
      <c r="B92" s="199">
        <v>65</v>
      </c>
      <c r="C92" s="209" t="s">
        <v>339</v>
      </c>
      <c r="D92" s="216" t="s">
        <v>204</v>
      </c>
      <c r="E92" s="200" t="s">
        <v>94</v>
      </c>
      <c r="F92" s="201">
        <v>15</v>
      </c>
      <c r="G92" s="194">
        <v>118.30800000000001</v>
      </c>
      <c r="H92" s="116">
        <f t="shared" ref="H92:H105" si="60">ROUND(F92*G92,2)</f>
        <v>1774.62</v>
      </c>
      <c r="I92" s="151">
        <v>0</v>
      </c>
      <c r="J92" s="151">
        <f t="shared" ref="J92:J104" si="61">IF(G92&lt;=248.93,0,(IFERROR(IF(ROUND((((H92/F92*30.4)-VLOOKUP((H92/F92*30.4),TARIFA,1))*VLOOKUP((H92/F92*30.4),TARIFA,3)+VLOOKUP((H92/F92*30.4),TARIFA,2)-VLOOKUP((H92/F92*30.4),SUBSIDIO,2))/30.4*F92,2)&gt;0,ROUND((((H92/F92*30.4)-VLOOKUP((H92/F92*30.4),TARIFA,1))*VLOOKUP((H92/F92*30.4),TARIFA,3)+VLOOKUP((H92/F92*30.4),TARIFA,2)-VLOOKUP((H92/F92*30.4),SUBSIDIO,2))/30.4*F92,2),0),0)))</f>
        <v>0</v>
      </c>
      <c r="K92" s="151">
        <f t="shared" ref="K92:K104" si="62">J92</f>
        <v>0</v>
      </c>
      <c r="L92" s="116">
        <f t="shared" ref="L92:L105" si="63">H92+I92-K92</f>
        <v>1774.62</v>
      </c>
      <c r="M92" s="120"/>
      <c r="N92" s="48"/>
    </row>
    <row r="93" spans="2:14" ht="30" customHeight="1" x14ac:dyDescent="0.2">
      <c r="B93" s="199">
        <v>66</v>
      </c>
      <c r="C93" s="209"/>
      <c r="D93" s="200" t="s">
        <v>205</v>
      </c>
      <c r="E93" s="200" t="s">
        <v>54</v>
      </c>
      <c r="F93" s="201">
        <v>15</v>
      </c>
      <c r="G93" s="194">
        <v>120.929</v>
      </c>
      <c r="H93" s="116">
        <f t="shared" si="60"/>
        <v>1813.94</v>
      </c>
      <c r="I93" s="151">
        <v>0</v>
      </c>
      <c r="J93" s="151">
        <f t="shared" si="61"/>
        <v>0</v>
      </c>
      <c r="K93" s="151">
        <f t="shared" si="62"/>
        <v>0</v>
      </c>
      <c r="L93" s="116">
        <f t="shared" si="63"/>
        <v>1813.94</v>
      </c>
      <c r="M93" s="120"/>
      <c r="N93" s="48"/>
    </row>
    <row r="94" spans="2:14" ht="30" customHeight="1" x14ac:dyDescent="0.2">
      <c r="B94" s="199">
        <v>67</v>
      </c>
      <c r="C94" s="209" t="s">
        <v>339</v>
      </c>
      <c r="D94" s="200" t="s">
        <v>206</v>
      </c>
      <c r="E94" s="200" t="s">
        <v>109</v>
      </c>
      <c r="F94" s="201">
        <v>15</v>
      </c>
      <c r="G94" s="194">
        <v>101.7106</v>
      </c>
      <c r="H94" s="116">
        <f t="shared" si="60"/>
        <v>1525.66</v>
      </c>
      <c r="I94" s="151">
        <v>0</v>
      </c>
      <c r="J94" s="151">
        <f t="shared" si="61"/>
        <v>0</v>
      </c>
      <c r="K94" s="151">
        <f t="shared" si="62"/>
        <v>0</v>
      </c>
      <c r="L94" s="116">
        <f t="shared" si="63"/>
        <v>1525.66</v>
      </c>
      <c r="M94" s="120"/>
      <c r="N94" s="48"/>
    </row>
    <row r="95" spans="2:14" ht="30" customHeight="1" x14ac:dyDescent="0.2">
      <c r="B95" s="199">
        <v>68</v>
      </c>
      <c r="C95" s="209"/>
      <c r="D95" s="200" t="s">
        <v>207</v>
      </c>
      <c r="E95" s="200" t="s">
        <v>102</v>
      </c>
      <c r="F95" s="201">
        <v>15</v>
      </c>
      <c r="G95" s="194">
        <v>295.733</v>
      </c>
      <c r="H95" s="116">
        <f t="shared" si="60"/>
        <v>4436</v>
      </c>
      <c r="I95" s="151">
        <v>0</v>
      </c>
      <c r="J95" s="116">
        <f t="shared" si="61"/>
        <v>133.74</v>
      </c>
      <c r="K95" s="116">
        <f t="shared" si="62"/>
        <v>133.74</v>
      </c>
      <c r="L95" s="116">
        <f t="shared" si="63"/>
        <v>4302.26</v>
      </c>
      <c r="M95" s="120"/>
      <c r="N95" s="48"/>
    </row>
    <row r="96" spans="2:14" s="5" customFormat="1" ht="30" customHeight="1" x14ac:dyDescent="0.2">
      <c r="B96" s="199">
        <v>69</v>
      </c>
      <c r="C96" s="209"/>
      <c r="D96" s="200" t="s">
        <v>208</v>
      </c>
      <c r="E96" s="200" t="s">
        <v>38</v>
      </c>
      <c r="F96" s="201">
        <v>15</v>
      </c>
      <c r="G96" s="194">
        <v>118.9325</v>
      </c>
      <c r="H96" s="116">
        <f>ROUND(F96*G96,2)</f>
        <v>1783.99</v>
      </c>
      <c r="I96" s="151">
        <v>0</v>
      </c>
      <c r="J96" s="151">
        <f t="shared" si="61"/>
        <v>0</v>
      </c>
      <c r="K96" s="151">
        <f t="shared" si="62"/>
        <v>0</v>
      </c>
      <c r="L96" s="116">
        <f t="shared" si="63"/>
        <v>1783.99</v>
      </c>
      <c r="M96" s="120"/>
      <c r="N96" s="48"/>
    </row>
    <row r="97" spans="2:14" ht="30" customHeight="1" x14ac:dyDescent="0.2">
      <c r="B97" s="199">
        <v>70</v>
      </c>
      <c r="C97" s="209"/>
      <c r="D97" s="200" t="s">
        <v>209</v>
      </c>
      <c r="E97" s="200" t="s">
        <v>115</v>
      </c>
      <c r="F97" s="201">
        <v>15</v>
      </c>
      <c r="G97" s="194">
        <v>118.9325</v>
      </c>
      <c r="H97" s="116">
        <f>ROUND(F97*G97,2)</f>
        <v>1783.99</v>
      </c>
      <c r="I97" s="151">
        <v>0</v>
      </c>
      <c r="J97" s="151">
        <f t="shared" si="61"/>
        <v>0</v>
      </c>
      <c r="K97" s="151">
        <f t="shared" si="62"/>
        <v>0</v>
      </c>
      <c r="L97" s="116">
        <f t="shared" si="63"/>
        <v>1783.99</v>
      </c>
      <c r="M97" s="120"/>
      <c r="N97" s="48"/>
    </row>
    <row r="98" spans="2:14" ht="30" customHeight="1" x14ac:dyDescent="0.2">
      <c r="B98" s="199">
        <v>71</v>
      </c>
      <c r="C98" s="209"/>
      <c r="D98" s="200" t="s">
        <v>211</v>
      </c>
      <c r="E98" s="200" t="s">
        <v>69</v>
      </c>
      <c r="F98" s="201">
        <v>15</v>
      </c>
      <c r="G98" s="194">
        <v>90.921999999999997</v>
      </c>
      <c r="H98" s="116">
        <f t="shared" si="60"/>
        <v>1363.83</v>
      </c>
      <c r="I98" s="151">
        <v>0</v>
      </c>
      <c r="J98" s="151">
        <f t="shared" si="61"/>
        <v>0</v>
      </c>
      <c r="K98" s="151">
        <f t="shared" si="62"/>
        <v>0</v>
      </c>
      <c r="L98" s="116">
        <f t="shared" si="63"/>
        <v>1363.83</v>
      </c>
      <c r="M98" s="120"/>
      <c r="N98" s="48"/>
    </row>
    <row r="99" spans="2:14" ht="30" customHeight="1" x14ac:dyDescent="0.2">
      <c r="B99" s="199">
        <v>72</v>
      </c>
      <c r="C99" s="209" t="s">
        <v>339</v>
      </c>
      <c r="D99" s="200" t="s">
        <v>210</v>
      </c>
      <c r="E99" s="200" t="s">
        <v>66</v>
      </c>
      <c r="F99" s="201">
        <v>15</v>
      </c>
      <c r="G99" s="194">
        <v>210.46639999999999</v>
      </c>
      <c r="H99" s="116">
        <f t="shared" si="60"/>
        <v>3157</v>
      </c>
      <c r="I99" s="151">
        <v>0</v>
      </c>
      <c r="J99" s="151">
        <f t="shared" si="61"/>
        <v>0</v>
      </c>
      <c r="K99" s="151">
        <f t="shared" si="62"/>
        <v>0</v>
      </c>
      <c r="L99" s="116">
        <f t="shared" si="63"/>
        <v>3157</v>
      </c>
      <c r="M99" s="120"/>
      <c r="N99" s="48"/>
    </row>
    <row r="100" spans="2:14" ht="30" customHeight="1" x14ac:dyDescent="0.2">
      <c r="B100" s="199">
        <v>73</v>
      </c>
      <c r="C100" s="209" t="s">
        <v>339</v>
      </c>
      <c r="D100" s="200" t="s">
        <v>455</v>
      </c>
      <c r="E100" s="200" t="s">
        <v>56</v>
      </c>
      <c r="F100" s="201">
        <v>15</v>
      </c>
      <c r="G100" s="194">
        <v>91.108999999999995</v>
      </c>
      <c r="H100" s="116">
        <f t="shared" si="60"/>
        <v>1366.64</v>
      </c>
      <c r="I100" s="151">
        <v>0</v>
      </c>
      <c r="J100" s="151">
        <f t="shared" si="61"/>
        <v>0</v>
      </c>
      <c r="K100" s="151">
        <f t="shared" si="62"/>
        <v>0</v>
      </c>
      <c r="L100" s="116">
        <f t="shared" si="63"/>
        <v>1366.64</v>
      </c>
      <c r="M100" s="120"/>
      <c r="N100" s="48"/>
    </row>
    <row r="101" spans="2:14" ht="30" customHeight="1" x14ac:dyDescent="0.2">
      <c r="B101" s="199">
        <v>74</v>
      </c>
      <c r="C101" s="209"/>
      <c r="D101" s="200" t="s">
        <v>348</v>
      </c>
      <c r="E101" s="200" t="s">
        <v>56</v>
      </c>
      <c r="F101" s="201">
        <v>15</v>
      </c>
      <c r="G101" s="194">
        <v>91.108999999999995</v>
      </c>
      <c r="H101" s="116">
        <f t="shared" ref="H101" si="64">ROUND(F101*G101,2)</f>
        <v>1366.64</v>
      </c>
      <c r="I101" s="151">
        <v>0</v>
      </c>
      <c r="J101" s="151">
        <f t="shared" si="61"/>
        <v>0</v>
      </c>
      <c r="K101" s="151">
        <f t="shared" ref="K101" si="65">J101</f>
        <v>0</v>
      </c>
      <c r="L101" s="116">
        <f t="shared" si="63"/>
        <v>1366.64</v>
      </c>
      <c r="M101" s="120"/>
      <c r="N101" s="48"/>
    </row>
    <row r="102" spans="2:14" ht="30" customHeight="1" x14ac:dyDescent="0.2">
      <c r="B102" s="199">
        <v>75</v>
      </c>
      <c r="C102" s="209"/>
      <c r="D102" s="200" t="s">
        <v>212</v>
      </c>
      <c r="E102" s="200" t="s">
        <v>65</v>
      </c>
      <c r="F102" s="201">
        <v>15</v>
      </c>
      <c r="G102" s="194">
        <v>177.53299999999999</v>
      </c>
      <c r="H102" s="116">
        <f t="shared" si="60"/>
        <v>2663</v>
      </c>
      <c r="I102" s="151">
        <v>0</v>
      </c>
      <c r="J102" s="151">
        <f t="shared" si="61"/>
        <v>0</v>
      </c>
      <c r="K102" s="151">
        <f t="shared" si="62"/>
        <v>0</v>
      </c>
      <c r="L102" s="116">
        <f t="shared" si="63"/>
        <v>2663</v>
      </c>
      <c r="M102" s="120"/>
      <c r="N102" s="48"/>
    </row>
    <row r="103" spans="2:14" ht="30" customHeight="1" x14ac:dyDescent="0.2">
      <c r="B103" s="199">
        <v>76</v>
      </c>
      <c r="C103" s="209"/>
      <c r="D103" s="200" t="s">
        <v>213</v>
      </c>
      <c r="E103" s="200" t="s">
        <v>114</v>
      </c>
      <c r="F103" s="201">
        <v>15</v>
      </c>
      <c r="G103" s="194">
        <v>91.108999999999995</v>
      </c>
      <c r="H103" s="116">
        <f t="shared" si="60"/>
        <v>1366.64</v>
      </c>
      <c r="I103" s="151">
        <v>0</v>
      </c>
      <c r="J103" s="151">
        <f t="shared" si="61"/>
        <v>0</v>
      </c>
      <c r="K103" s="151">
        <f t="shared" si="62"/>
        <v>0</v>
      </c>
      <c r="L103" s="116">
        <f t="shared" si="63"/>
        <v>1366.64</v>
      </c>
      <c r="M103" s="120"/>
      <c r="N103" s="48"/>
    </row>
    <row r="104" spans="2:14" ht="30" customHeight="1" x14ac:dyDescent="0.2">
      <c r="B104" s="199">
        <v>77</v>
      </c>
      <c r="C104" s="209" t="s">
        <v>339</v>
      </c>
      <c r="D104" s="200" t="s">
        <v>344</v>
      </c>
      <c r="E104" s="200" t="s">
        <v>54</v>
      </c>
      <c r="F104" s="201">
        <v>15</v>
      </c>
      <c r="G104" s="217">
        <v>103.395</v>
      </c>
      <c r="H104" s="116">
        <f t="shared" si="60"/>
        <v>1550.93</v>
      </c>
      <c r="I104" s="151">
        <v>0</v>
      </c>
      <c r="J104" s="151">
        <f t="shared" si="61"/>
        <v>0</v>
      </c>
      <c r="K104" s="151">
        <f t="shared" si="62"/>
        <v>0</v>
      </c>
      <c r="L104" s="116">
        <f t="shared" si="63"/>
        <v>1550.93</v>
      </c>
      <c r="M104" s="120"/>
      <c r="N104" s="48"/>
    </row>
    <row r="105" spans="2:14" ht="30" customHeight="1" x14ac:dyDescent="0.2">
      <c r="B105" s="199">
        <v>78</v>
      </c>
      <c r="C105" s="209" t="s">
        <v>339</v>
      </c>
      <c r="D105" s="200" t="s">
        <v>459</v>
      </c>
      <c r="E105" s="200" t="s">
        <v>42</v>
      </c>
      <c r="F105" s="201">
        <v>15</v>
      </c>
      <c r="G105" s="194">
        <v>173.02799999999999</v>
      </c>
      <c r="H105" s="116">
        <f t="shared" si="60"/>
        <v>2595.42</v>
      </c>
      <c r="I105" s="151">
        <v>0</v>
      </c>
      <c r="J105" s="151">
        <v>0</v>
      </c>
      <c r="K105" s="151">
        <v>0</v>
      </c>
      <c r="L105" s="116">
        <f t="shared" si="63"/>
        <v>2595.42</v>
      </c>
      <c r="M105" s="120"/>
      <c r="N105" s="48"/>
    </row>
    <row r="106" spans="2:14" ht="30" customHeight="1" x14ac:dyDescent="0.2">
      <c r="B106" s="199"/>
      <c r="C106" s="209"/>
      <c r="D106" s="200"/>
      <c r="E106" s="211" t="s">
        <v>33</v>
      </c>
      <c r="F106" s="402"/>
      <c r="G106" s="403"/>
      <c r="H106" s="117">
        <f>SUM(H92:H105)</f>
        <v>28548.299999999996</v>
      </c>
      <c r="I106" s="152">
        <f t="shared" ref="I106:K106" si="66">SUM(I92:I105)</f>
        <v>0</v>
      </c>
      <c r="J106" s="117">
        <f t="shared" si="66"/>
        <v>133.74</v>
      </c>
      <c r="K106" s="117">
        <f t="shared" si="66"/>
        <v>133.74</v>
      </c>
      <c r="L106" s="117">
        <f>SUM(L92:L105)</f>
        <v>28414.559999999998</v>
      </c>
      <c r="M106" s="121">
        <f t="shared" ref="M106" si="67">SUM(M92:M104)</f>
        <v>0</v>
      </c>
      <c r="N106" s="48"/>
    </row>
    <row r="107" spans="2:14" ht="30" customHeight="1" x14ac:dyDescent="0.2">
      <c r="B107" s="404" t="s">
        <v>53</v>
      </c>
      <c r="C107" s="405"/>
      <c r="D107" s="406"/>
      <c r="E107" s="406"/>
      <c r="F107" s="406"/>
      <c r="G107" s="406"/>
      <c r="H107" s="406"/>
      <c r="I107" s="406"/>
      <c r="J107" s="406"/>
      <c r="K107" s="406"/>
      <c r="L107" s="406"/>
      <c r="M107" s="407"/>
      <c r="N107" s="48"/>
    </row>
    <row r="108" spans="2:14" ht="30" customHeight="1" x14ac:dyDescent="0.2">
      <c r="B108" s="199">
        <v>79</v>
      </c>
      <c r="C108" s="209"/>
      <c r="D108" s="200" t="s">
        <v>176</v>
      </c>
      <c r="E108" s="200" t="s">
        <v>56</v>
      </c>
      <c r="F108" s="201">
        <v>15</v>
      </c>
      <c r="G108" s="194">
        <v>128.684</v>
      </c>
      <c r="H108" s="116">
        <f t="shared" ref="H108:H121" si="68">ROUND(F108*G108,2)</f>
        <v>1930.26</v>
      </c>
      <c r="I108" s="151">
        <v>0</v>
      </c>
      <c r="J108" s="151">
        <f t="shared" ref="J108:J121" si="69">IF(G108&lt;=248.93,0,(IFERROR(IF(ROUND((((H108/F108*30.4)-VLOOKUP((H108/F108*30.4),TARIFA,1))*VLOOKUP((H108/F108*30.4),TARIFA,3)+VLOOKUP((H108/F108*30.4),TARIFA,2)-VLOOKUP((H108/F108*30.4),SUBSIDIO,2))/30.4*F108,2)&gt;0,ROUND((((H108/F108*30.4)-VLOOKUP((H108/F108*30.4),TARIFA,1))*VLOOKUP((H108/F108*30.4),TARIFA,3)+VLOOKUP((H108/F108*30.4),TARIFA,2)-VLOOKUP((H108/F108*30.4),SUBSIDIO,2))/30.4*F108,2),0),0)))</f>
        <v>0</v>
      </c>
      <c r="K108" s="151">
        <f t="shared" ref="K108:K121" si="70">J108</f>
        <v>0</v>
      </c>
      <c r="L108" s="116">
        <f t="shared" ref="L108:L121" si="71">H108+I108-K108</f>
        <v>1930.26</v>
      </c>
      <c r="M108" s="120"/>
      <c r="N108" s="48"/>
    </row>
    <row r="109" spans="2:14" ht="30" customHeight="1" x14ac:dyDescent="0.2">
      <c r="B109" s="199">
        <v>80</v>
      </c>
      <c r="C109" s="209" t="s">
        <v>339</v>
      </c>
      <c r="D109" s="200" t="s">
        <v>153</v>
      </c>
      <c r="E109" s="200" t="s">
        <v>117</v>
      </c>
      <c r="F109" s="201">
        <v>15</v>
      </c>
      <c r="G109" s="194">
        <v>91.233999999999995</v>
      </c>
      <c r="H109" s="116">
        <f t="shared" si="68"/>
        <v>1368.51</v>
      </c>
      <c r="I109" s="151">
        <v>0</v>
      </c>
      <c r="J109" s="151">
        <f t="shared" si="69"/>
        <v>0</v>
      </c>
      <c r="K109" s="151">
        <f t="shared" si="70"/>
        <v>0</v>
      </c>
      <c r="L109" s="116">
        <f t="shared" si="71"/>
        <v>1368.51</v>
      </c>
      <c r="M109" s="120"/>
      <c r="N109" s="48"/>
    </row>
    <row r="110" spans="2:14" ht="30" customHeight="1" x14ac:dyDescent="0.2">
      <c r="B110" s="199">
        <v>81</v>
      </c>
      <c r="C110" s="209"/>
      <c r="D110" s="200" t="s">
        <v>214</v>
      </c>
      <c r="E110" s="200" t="s">
        <v>117</v>
      </c>
      <c r="F110" s="201">
        <v>15</v>
      </c>
      <c r="G110" s="194">
        <v>91.233999999999995</v>
      </c>
      <c r="H110" s="116">
        <f t="shared" si="68"/>
        <v>1368.51</v>
      </c>
      <c r="I110" s="151">
        <v>0</v>
      </c>
      <c r="J110" s="151">
        <f t="shared" si="69"/>
        <v>0</v>
      </c>
      <c r="K110" s="151">
        <f t="shared" si="70"/>
        <v>0</v>
      </c>
      <c r="L110" s="116">
        <f t="shared" si="71"/>
        <v>1368.51</v>
      </c>
      <c r="M110" s="120"/>
      <c r="N110" s="48"/>
    </row>
    <row r="111" spans="2:14" ht="30" customHeight="1" x14ac:dyDescent="0.2">
      <c r="B111" s="199">
        <v>82</v>
      </c>
      <c r="C111" s="209" t="s">
        <v>339</v>
      </c>
      <c r="D111" s="200" t="s">
        <v>376</v>
      </c>
      <c r="E111" s="200" t="s">
        <v>65</v>
      </c>
      <c r="F111" s="201">
        <v>15</v>
      </c>
      <c r="G111" s="194">
        <v>195</v>
      </c>
      <c r="H111" s="116">
        <f t="shared" si="68"/>
        <v>2925</v>
      </c>
      <c r="I111" s="151">
        <v>0</v>
      </c>
      <c r="J111" s="151">
        <f t="shared" si="69"/>
        <v>0</v>
      </c>
      <c r="K111" s="151">
        <f>J111</f>
        <v>0</v>
      </c>
      <c r="L111" s="116">
        <f>H111+I111-K111</f>
        <v>2925</v>
      </c>
      <c r="M111" s="120"/>
      <c r="N111" s="48"/>
    </row>
    <row r="112" spans="2:14" ht="30" customHeight="1" x14ac:dyDescent="0.2">
      <c r="B112" s="199">
        <v>83</v>
      </c>
      <c r="C112" s="209" t="s">
        <v>339</v>
      </c>
      <c r="D112" s="200" t="s">
        <v>272</v>
      </c>
      <c r="E112" s="200" t="s">
        <v>65</v>
      </c>
      <c r="F112" s="201">
        <v>15</v>
      </c>
      <c r="G112" s="194">
        <v>193.2</v>
      </c>
      <c r="H112" s="116">
        <f t="shared" ref="H112" si="72">ROUND(F112*G112,2)</f>
        <v>2898</v>
      </c>
      <c r="I112" s="151">
        <v>0</v>
      </c>
      <c r="J112" s="151">
        <f t="shared" ref="J112" si="73">IF(G112&lt;=248.93,0,(IFERROR(IF(ROUND((((H112/F112*30.4)-VLOOKUP((H112/F112*30.4),TARIFA,1))*VLOOKUP((H112/F112*30.4),TARIFA,3)+VLOOKUP((H112/F112*30.4),TARIFA,2)-VLOOKUP((H112/F112*30.4),SUBSIDIO,2))/30.4*F112,2)&gt;0,ROUND((((H112/F112*30.4)-VLOOKUP((H112/F112*30.4),TARIFA,1))*VLOOKUP((H112/F112*30.4),TARIFA,3)+VLOOKUP((H112/F112*30.4),TARIFA,2)-VLOOKUP((H112/F112*30.4),SUBSIDIO,2))/30.4*F112,2),0),0)))</f>
        <v>0</v>
      </c>
      <c r="K112" s="151">
        <f>J112</f>
        <v>0</v>
      </c>
      <c r="L112" s="116">
        <f>H112+I112-K112</f>
        <v>2898</v>
      </c>
      <c r="M112" s="120"/>
      <c r="N112" s="48"/>
    </row>
    <row r="113" spans="1:14" ht="30" customHeight="1" x14ac:dyDescent="0.2">
      <c r="B113" s="199">
        <v>84</v>
      </c>
      <c r="C113" s="209" t="s">
        <v>339</v>
      </c>
      <c r="D113" s="200" t="s">
        <v>377</v>
      </c>
      <c r="E113" s="200" t="s">
        <v>67</v>
      </c>
      <c r="F113" s="201">
        <v>15</v>
      </c>
      <c r="G113" s="194">
        <v>111.819</v>
      </c>
      <c r="H113" s="116">
        <f t="shared" si="68"/>
        <v>1677.29</v>
      </c>
      <c r="I113" s="151">
        <v>0</v>
      </c>
      <c r="J113" s="151">
        <f t="shared" si="69"/>
        <v>0</v>
      </c>
      <c r="K113" s="151">
        <f t="shared" si="70"/>
        <v>0</v>
      </c>
      <c r="L113" s="116">
        <f t="shared" si="71"/>
        <v>1677.29</v>
      </c>
      <c r="M113" s="120"/>
      <c r="N113" s="48"/>
    </row>
    <row r="114" spans="1:14" ht="30" customHeight="1" x14ac:dyDescent="0.2">
      <c r="B114" s="199">
        <v>85</v>
      </c>
      <c r="C114" s="209" t="s">
        <v>339</v>
      </c>
      <c r="D114" s="200" t="s">
        <v>215</v>
      </c>
      <c r="E114" s="200" t="s">
        <v>67</v>
      </c>
      <c r="F114" s="201">
        <v>15</v>
      </c>
      <c r="G114" s="194">
        <v>92.356999999999999</v>
      </c>
      <c r="H114" s="116">
        <f t="shared" si="68"/>
        <v>1385.36</v>
      </c>
      <c r="I114" s="151">
        <v>0</v>
      </c>
      <c r="J114" s="151">
        <f t="shared" si="69"/>
        <v>0</v>
      </c>
      <c r="K114" s="151">
        <f t="shared" si="70"/>
        <v>0</v>
      </c>
      <c r="L114" s="116">
        <f t="shared" si="71"/>
        <v>1385.36</v>
      </c>
      <c r="M114" s="120"/>
      <c r="N114" s="48"/>
    </row>
    <row r="115" spans="1:14" ht="30" customHeight="1" x14ac:dyDescent="0.2">
      <c r="B115" s="199">
        <v>86</v>
      </c>
      <c r="C115" s="209"/>
      <c r="D115" s="200" t="s">
        <v>143</v>
      </c>
      <c r="E115" s="200" t="s">
        <v>67</v>
      </c>
      <c r="F115" s="201">
        <v>15</v>
      </c>
      <c r="G115" s="194">
        <v>110.5085</v>
      </c>
      <c r="H115" s="116">
        <f t="shared" si="68"/>
        <v>1657.63</v>
      </c>
      <c r="I115" s="151">
        <v>0</v>
      </c>
      <c r="J115" s="151">
        <f t="shared" si="69"/>
        <v>0</v>
      </c>
      <c r="K115" s="151">
        <f t="shared" si="70"/>
        <v>0</v>
      </c>
      <c r="L115" s="116">
        <f t="shared" si="71"/>
        <v>1657.63</v>
      </c>
      <c r="M115" s="120"/>
      <c r="N115" s="48"/>
    </row>
    <row r="116" spans="1:14" ht="30" customHeight="1" x14ac:dyDescent="0.2">
      <c r="B116" s="199">
        <v>87</v>
      </c>
      <c r="C116" s="209" t="s">
        <v>339</v>
      </c>
      <c r="D116" s="200" t="s">
        <v>221</v>
      </c>
      <c r="E116" s="200" t="s">
        <v>71</v>
      </c>
      <c r="F116" s="201">
        <v>15</v>
      </c>
      <c r="G116" s="194">
        <v>135.1105</v>
      </c>
      <c r="H116" s="116">
        <f t="shared" si="68"/>
        <v>2026.66</v>
      </c>
      <c r="I116" s="151">
        <v>0</v>
      </c>
      <c r="J116" s="151">
        <f t="shared" si="69"/>
        <v>0</v>
      </c>
      <c r="K116" s="151">
        <f t="shared" si="70"/>
        <v>0</v>
      </c>
      <c r="L116" s="116">
        <f t="shared" si="71"/>
        <v>2026.66</v>
      </c>
      <c r="M116" s="120"/>
      <c r="N116" s="48"/>
    </row>
    <row r="117" spans="1:14" ht="30" customHeight="1" x14ac:dyDescent="0.2">
      <c r="B117" s="199">
        <v>88</v>
      </c>
      <c r="C117" s="209"/>
      <c r="D117" s="200" t="s">
        <v>220</v>
      </c>
      <c r="E117" s="200" t="s">
        <v>70</v>
      </c>
      <c r="F117" s="201">
        <v>15</v>
      </c>
      <c r="G117" s="194">
        <v>220.8</v>
      </c>
      <c r="H117" s="116">
        <f t="shared" si="68"/>
        <v>3312</v>
      </c>
      <c r="I117" s="151">
        <v>0</v>
      </c>
      <c r="J117" s="151">
        <f t="shared" si="69"/>
        <v>0</v>
      </c>
      <c r="K117" s="151">
        <f t="shared" si="70"/>
        <v>0</v>
      </c>
      <c r="L117" s="116">
        <f t="shared" si="71"/>
        <v>3312</v>
      </c>
      <c r="M117" s="120"/>
      <c r="N117" s="48"/>
    </row>
    <row r="118" spans="1:14" ht="30" customHeight="1" x14ac:dyDescent="0.2">
      <c r="B118" s="199">
        <v>89</v>
      </c>
      <c r="C118" s="209" t="s">
        <v>339</v>
      </c>
      <c r="D118" s="200" t="s">
        <v>219</v>
      </c>
      <c r="E118" s="200" t="s">
        <v>70</v>
      </c>
      <c r="F118" s="201">
        <v>15</v>
      </c>
      <c r="G118" s="194">
        <v>111.819</v>
      </c>
      <c r="H118" s="116">
        <f t="shared" si="68"/>
        <v>1677.29</v>
      </c>
      <c r="I118" s="151">
        <v>0</v>
      </c>
      <c r="J118" s="151">
        <f t="shared" si="69"/>
        <v>0</v>
      </c>
      <c r="K118" s="151">
        <f t="shared" si="70"/>
        <v>0</v>
      </c>
      <c r="L118" s="116">
        <f t="shared" si="71"/>
        <v>1677.29</v>
      </c>
      <c r="M118" s="120"/>
      <c r="N118" s="48"/>
    </row>
    <row r="119" spans="1:14" s="310" customFormat="1" ht="30" customHeight="1" x14ac:dyDescent="0.2">
      <c r="A119" s="28"/>
      <c r="B119" s="199">
        <v>90</v>
      </c>
      <c r="C119" s="209" t="s">
        <v>339</v>
      </c>
      <c r="D119" s="200" t="s">
        <v>218</v>
      </c>
      <c r="E119" s="200" t="s">
        <v>37</v>
      </c>
      <c r="F119" s="201">
        <v>15</v>
      </c>
      <c r="G119" s="194">
        <v>143.4725</v>
      </c>
      <c r="H119" s="116">
        <f t="shared" si="68"/>
        <v>2152.09</v>
      </c>
      <c r="I119" s="151">
        <v>0</v>
      </c>
      <c r="J119" s="151">
        <f t="shared" si="69"/>
        <v>0</v>
      </c>
      <c r="K119" s="151">
        <f t="shared" si="70"/>
        <v>0</v>
      </c>
      <c r="L119" s="116">
        <f t="shared" si="71"/>
        <v>2152.09</v>
      </c>
      <c r="M119" s="120"/>
      <c r="N119" s="83"/>
    </row>
    <row r="120" spans="1:14" s="310" customFormat="1" ht="30" customHeight="1" x14ac:dyDescent="0.2">
      <c r="A120" s="28"/>
      <c r="B120" s="199">
        <v>91</v>
      </c>
      <c r="C120" s="209"/>
      <c r="D120" s="200" t="s">
        <v>217</v>
      </c>
      <c r="E120" s="200" t="s">
        <v>118</v>
      </c>
      <c r="F120" s="201">
        <v>15</v>
      </c>
      <c r="G120" s="194">
        <v>138.72999999999999</v>
      </c>
      <c r="H120" s="116">
        <f t="shared" si="68"/>
        <v>2080.9499999999998</v>
      </c>
      <c r="I120" s="151">
        <v>0</v>
      </c>
      <c r="J120" s="151">
        <f t="shared" si="69"/>
        <v>0</v>
      </c>
      <c r="K120" s="151">
        <f t="shared" si="70"/>
        <v>0</v>
      </c>
      <c r="L120" s="116">
        <f t="shared" si="71"/>
        <v>2080.9499999999998</v>
      </c>
      <c r="M120" s="120"/>
      <c r="N120" s="83"/>
    </row>
    <row r="121" spans="1:14" s="310" customFormat="1" ht="30" customHeight="1" x14ac:dyDescent="0.2">
      <c r="A121" s="28"/>
      <c r="B121" s="199">
        <v>92</v>
      </c>
      <c r="C121" s="209" t="s">
        <v>339</v>
      </c>
      <c r="D121" s="200" t="s">
        <v>216</v>
      </c>
      <c r="E121" s="200" t="s">
        <v>94</v>
      </c>
      <c r="F121" s="201">
        <v>15</v>
      </c>
      <c r="G121" s="194">
        <v>111.819</v>
      </c>
      <c r="H121" s="116">
        <f t="shared" si="68"/>
        <v>1677.29</v>
      </c>
      <c r="I121" s="151">
        <v>0</v>
      </c>
      <c r="J121" s="151">
        <f t="shared" si="69"/>
        <v>0</v>
      </c>
      <c r="K121" s="151">
        <f t="shared" si="70"/>
        <v>0</v>
      </c>
      <c r="L121" s="116">
        <f t="shared" si="71"/>
        <v>1677.29</v>
      </c>
      <c r="M121" s="120"/>
      <c r="N121" s="83"/>
    </row>
    <row r="122" spans="1:14" ht="30" customHeight="1" x14ac:dyDescent="0.2">
      <c r="B122" s="199"/>
      <c r="C122" s="209"/>
      <c r="D122" s="200"/>
      <c r="E122" s="211" t="s">
        <v>33</v>
      </c>
      <c r="F122" s="402"/>
      <c r="G122" s="403"/>
      <c r="H122" s="117">
        <f>SUM(H108:H121)</f>
        <v>28136.840000000004</v>
      </c>
      <c r="I122" s="152">
        <f t="shared" ref="I122:M122" si="74">SUM(I108:I121)</f>
        <v>0</v>
      </c>
      <c r="J122" s="152">
        <f t="shared" si="74"/>
        <v>0</v>
      </c>
      <c r="K122" s="152">
        <f t="shared" si="74"/>
        <v>0</v>
      </c>
      <c r="L122" s="117">
        <f>SUM(L108:L121)</f>
        <v>28136.840000000004</v>
      </c>
      <c r="M122" s="121">
        <f t="shared" si="74"/>
        <v>0</v>
      </c>
      <c r="N122" s="48"/>
    </row>
    <row r="123" spans="1:14" ht="30" customHeight="1" x14ac:dyDescent="0.2">
      <c r="B123" s="404" t="s">
        <v>55</v>
      </c>
      <c r="C123" s="405"/>
      <c r="D123" s="406"/>
      <c r="E123" s="406"/>
      <c r="F123" s="406"/>
      <c r="G123" s="406"/>
      <c r="H123" s="406"/>
      <c r="I123" s="406"/>
      <c r="J123" s="406"/>
      <c r="K123" s="406"/>
      <c r="L123" s="406"/>
      <c r="M123" s="407"/>
      <c r="N123" s="48"/>
    </row>
    <row r="124" spans="1:14" ht="30" customHeight="1" x14ac:dyDescent="0.2">
      <c r="B124" s="199">
        <v>93</v>
      </c>
      <c r="C124" s="209" t="s">
        <v>339</v>
      </c>
      <c r="D124" s="200" t="s">
        <v>222</v>
      </c>
      <c r="E124" s="200" t="s">
        <v>116</v>
      </c>
      <c r="F124" s="201">
        <v>15</v>
      </c>
      <c r="G124" s="212">
        <v>186.2664</v>
      </c>
      <c r="H124" s="116">
        <f t="shared" ref="H124:H128" si="75">ROUND(F124*G124,2)</f>
        <v>2794</v>
      </c>
      <c r="I124" s="151">
        <v>0</v>
      </c>
      <c r="J124" s="151">
        <f t="shared" ref="J124:J129" si="76">IF(G124&lt;=248.93,0,(IFERROR(IF(ROUND((((H124/F124*30.4)-VLOOKUP((H124/F124*30.4),TARIFA,1))*VLOOKUP((H124/F124*30.4),TARIFA,3)+VLOOKUP((H124/F124*30.4),TARIFA,2)-VLOOKUP((H124/F124*30.4),SUBSIDIO,2))/30.4*F124,2)&gt;0,ROUND((((H124/F124*30.4)-VLOOKUP((H124/F124*30.4),TARIFA,1))*VLOOKUP((H124/F124*30.4),TARIFA,3)+VLOOKUP((H124/F124*30.4),TARIFA,2)-VLOOKUP((H124/F124*30.4),SUBSIDIO,2))/30.4*F124,2),0),0)))</f>
        <v>0</v>
      </c>
      <c r="K124" s="151">
        <f t="shared" ref="K124:K128" si="77">J124</f>
        <v>0</v>
      </c>
      <c r="L124" s="116">
        <f t="shared" ref="L124:L129" si="78">H124+I124-K124</f>
        <v>2794</v>
      </c>
      <c r="M124" s="120"/>
      <c r="N124" s="48"/>
    </row>
    <row r="125" spans="1:14" ht="30" customHeight="1" x14ac:dyDescent="0.2">
      <c r="B125" s="199">
        <v>94</v>
      </c>
      <c r="C125" s="209" t="s">
        <v>339</v>
      </c>
      <c r="D125" s="200" t="s">
        <v>223</v>
      </c>
      <c r="E125" s="200" t="s">
        <v>56</v>
      </c>
      <c r="F125" s="201">
        <v>15</v>
      </c>
      <c r="G125" s="194">
        <v>143.4725</v>
      </c>
      <c r="H125" s="116">
        <f t="shared" si="75"/>
        <v>2152.09</v>
      </c>
      <c r="I125" s="151">
        <v>0</v>
      </c>
      <c r="J125" s="151">
        <f t="shared" si="76"/>
        <v>0</v>
      </c>
      <c r="K125" s="151">
        <f t="shared" si="77"/>
        <v>0</v>
      </c>
      <c r="L125" s="116">
        <f t="shared" si="78"/>
        <v>2152.09</v>
      </c>
      <c r="M125" s="120"/>
      <c r="N125" s="48"/>
    </row>
    <row r="126" spans="1:14" ht="30" customHeight="1" x14ac:dyDescent="0.2">
      <c r="B126" s="199">
        <v>95</v>
      </c>
      <c r="C126" s="209"/>
      <c r="D126" s="200" t="s">
        <v>224</v>
      </c>
      <c r="E126" s="200" t="s">
        <v>118</v>
      </c>
      <c r="F126" s="201">
        <v>15</v>
      </c>
      <c r="G126" s="212">
        <v>261.8</v>
      </c>
      <c r="H126" s="116">
        <f t="shared" si="75"/>
        <v>3927</v>
      </c>
      <c r="I126" s="151">
        <v>0</v>
      </c>
      <c r="J126" s="116">
        <f t="shared" si="76"/>
        <v>78.36</v>
      </c>
      <c r="K126" s="116">
        <f t="shared" si="77"/>
        <v>78.36</v>
      </c>
      <c r="L126" s="116">
        <f t="shared" si="78"/>
        <v>3848.64</v>
      </c>
      <c r="M126" s="120"/>
      <c r="N126" s="48"/>
    </row>
    <row r="127" spans="1:14" ht="30" customHeight="1" x14ac:dyDescent="0.2">
      <c r="B127" s="199">
        <v>96</v>
      </c>
      <c r="C127" s="209" t="s">
        <v>339</v>
      </c>
      <c r="D127" s="200" t="s">
        <v>225</v>
      </c>
      <c r="E127" s="200" t="s">
        <v>69</v>
      </c>
      <c r="F127" s="201">
        <v>15</v>
      </c>
      <c r="G127" s="212">
        <v>131.18</v>
      </c>
      <c r="H127" s="116">
        <f t="shared" si="75"/>
        <v>1967.7</v>
      </c>
      <c r="I127" s="151">
        <v>0</v>
      </c>
      <c r="J127" s="151">
        <f t="shared" si="76"/>
        <v>0</v>
      </c>
      <c r="K127" s="151">
        <f t="shared" si="77"/>
        <v>0</v>
      </c>
      <c r="L127" s="116">
        <f t="shared" si="78"/>
        <v>1967.7</v>
      </c>
      <c r="M127" s="120"/>
      <c r="N127" s="48"/>
    </row>
    <row r="128" spans="1:14" ht="30" customHeight="1" x14ac:dyDescent="0.2">
      <c r="B128" s="199">
        <v>97</v>
      </c>
      <c r="C128" s="209" t="s">
        <v>339</v>
      </c>
      <c r="D128" s="200" t="s">
        <v>342</v>
      </c>
      <c r="E128" s="200" t="s">
        <v>340</v>
      </c>
      <c r="F128" s="201">
        <v>15</v>
      </c>
      <c r="G128" s="212">
        <v>110.384</v>
      </c>
      <c r="H128" s="116">
        <f t="shared" si="75"/>
        <v>1655.76</v>
      </c>
      <c r="I128" s="151">
        <v>0</v>
      </c>
      <c r="J128" s="151">
        <f t="shared" si="76"/>
        <v>0</v>
      </c>
      <c r="K128" s="151">
        <f t="shared" si="77"/>
        <v>0</v>
      </c>
      <c r="L128" s="116">
        <f t="shared" si="78"/>
        <v>1655.76</v>
      </c>
      <c r="M128" s="120"/>
      <c r="N128" s="48"/>
    </row>
    <row r="129" spans="1:14" ht="44.45" customHeight="1" x14ac:dyDescent="0.2">
      <c r="B129" s="199">
        <v>98</v>
      </c>
      <c r="C129" s="209" t="s">
        <v>339</v>
      </c>
      <c r="D129" s="200" t="s">
        <v>370</v>
      </c>
      <c r="E129" s="200" t="s">
        <v>371</v>
      </c>
      <c r="F129" s="201">
        <v>15</v>
      </c>
      <c r="G129" s="212">
        <v>103.5825</v>
      </c>
      <c r="H129" s="116">
        <f t="shared" ref="H129" si="79">ROUND(F129*G129,2)</f>
        <v>1553.74</v>
      </c>
      <c r="I129" s="151">
        <v>0</v>
      </c>
      <c r="J129" s="151">
        <f t="shared" si="76"/>
        <v>0</v>
      </c>
      <c r="K129" s="151">
        <f t="shared" ref="K129" si="80">J129</f>
        <v>0</v>
      </c>
      <c r="L129" s="116">
        <f t="shared" si="78"/>
        <v>1553.74</v>
      </c>
      <c r="M129" s="120"/>
      <c r="N129" s="48"/>
    </row>
    <row r="130" spans="1:14" ht="30" customHeight="1" x14ac:dyDescent="0.2">
      <c r="B130" s="199"/>
      <c r="C130" s="209"/>
      <c r="D130" s="200"/>
      <c r="E130" s="211" t="s">
        <v>33</v>
      </c>
      <c r="F130" s="402"/>
      <c r="G130" s="403"/>
      <c r="H130" s="117">
        <f>SUM(H124:H129)</f>
        <v>14050.29</v>
      </c>
      <c r="I130" s="152">
        <f t="shared" ref="I130:K130" si="81">SUM(I124:I129)</f>
        <v>0</v>
      </c>
      <c r="J130" s="117">
        <f t="shared" si="81"/>
        <v>78.36</v>
      </c>
      <c r="K130" s="117">
        <f t="shared" si="81"/>
        <v>78.36</v>
      </c>
      <c r="L130" s="117">
        <f>SUM(L124:L129)</f>
        <v>13971.93</v>
      </c>
      <c r="M130" s="121">
        <f>SUM(M124:M127)</f>
        <v>0</v>
      </c>
      <c r="N130" s="48"/>
    </row>
    <row r="131" spans="1:14" ht="30" customHeight="1" x14ac:dyDescent="0.2">
      <c r="B131" s="404" t="s">
        <v>57</v>
      </c>
      <c r="C131" s="405"/>
      <c r="D131" s="406"/>
      <c r="E131" s="406"/>
      <c r="F131" s="406"/>
      <c r="G131" s="406"/>
      <c r="H131" s="406"/>
      <c r="I131" s="406"/>
      <c r="J131" s="406"/>
      <c r="K131" s="406"/>
      <c r="L131" s="406"/>
      <c r="M131" s="407"/>
      <c r="N131" s="48"/>
    </row>
    <row r="132" spans="1:14" s="4" customFormat="1" ht="30" customHeight="1" x14ac:dyDescent="0.2">
      <c r="B132" s="218">
        <v>99</v>
      </c>
      <c r="C132" s="219"/>
      <c r="D132" s="200" t="s">
        <v>226</v>
      </c>
      <c r="E132" s="216" t="s">
        <v>68</v>
      </c>
      <c r="F132" s="63">
        <v>15</v>
      </c>
      <c r="G132" s="220">
        <v>203.8664</v>
      </c>
      <c r="H132" s="116">
        <f t="shared" ref="H132:H135" si="82">ROUND(F132*G132,2)</f>
        <v>3058</v>
      </c>
      <c r="I132" s="151">
        <v>0</v>
      </c>
      <c r="J132" s="151">
        <f>IF(G132&lt;=248.93,0,(IFERROR(IF(ROUND((((H132/F132*30.4)-VLOOKUP((H132/F132*30.4),TARIFA,1))*VLOOKUP((H132/F132*30.4),TARIFA,3)+VLOOKUP((H132/F132*30.4),TARIFA,2)-VLOOKUP((H132/F132*30.4),SUBSIDIO,2))/30.4*F132,2)&gt;0,ROUND((((H132/F132*30.4)-VLOOKUP((H132/F132*30.4),TARIFA,1))*VLOOKUP((H132/F132*30.4),TARIFA,3)+VLOOKUP((H132/F132*30.4),TARIFA,2)-VLOOKUP((H132/F132*30.4),SUBSIDIO,2))/30.4*F132,2),0),0)))</f>
        <v>0</v>
      </c>
      <c r="K132" s="151">
        <f>J132</f>
        <v>0</v>
      </c>
      <c r="L132" s="116">
        <f>H132+I132-K132</f>
        <v>3058</v>
      </c>
      <c r="M132" s="120"/>
      <c r="N132" s="48"/>
    </row>
    <row r="133" spans="1:14" s="4" customFormat="1" ht="30" customHeight="1" x14ac:dyDescent="0.2">
      <c r="B133" s="218">
        <v>100</v>
      </c>
      <c r="C133" s="219"/>
      <c r="D133" s="200" t="s">
        <v>227</v>
      </c>
      <c r="E133" s="216" t="s">
        <v>42</v>
      </c>
      <c r="F133" s="63">
        <v>15</v>
      </c>
      <c r="G133" s="220">
        <v>57.544499999999999</v>
      </c>
      <c r="H133" s="116">
        <f t="shared" si="82"/>
        <v>863.17</v>
      </c>
      <c r="I133" s="151">
        <v>0</v>
      </c>
      <c r="J133" s="151">
        <f>IF(G133&lt;=248.93,0,(IFERROR(IF(ROUND((((H133/F133*30.4)-VLOOKUP((H133/F133*30.4),TARIFA,1))*VLOOKUP((H133/F133*30.4),TARIFA,3)+VLOOKUP((H133/F133*30.4),TARIFA,2)-VLOOKUP((H133/F133*30.4),SUBSIDIO,2))/30.4*F133,2)&gt;0,ROUND((((H133/F133*30.4)-VLOOKUP((H133/F133*30.4),TARIFA,1))*VLOOKUP((H133/F133*30.4),TARIFA,3)+VLOOKUP((H133/F133*30.4),TARIFA,2)-VLOOKUP((H133/F133*30.4),SUBSIDIO,2))/30.4*F133,2),0),0)))</f>
        <v>0</v>
      </c>
      <c r="K133" s="151">
        <f>J133</f>
        <v>0</v>
      </c>
      <c r="L133" s="116">
        <f>H133+I133-K133</f>
        <v>863.17</v>
      </c>
      <c r="M133" s="120"/>
      <c r="N133" s="48"/>
    </row>
    <row r="134" spans="1:14" s="5" customFormat="1" ht="30" customHeight="1" x14ac:dyDescent="0.2">
      <c r="B134" s="199">
        <v>101</v>
      </c>
      <c r="C134" s="209" t="s">
        <v>339</v>
      </c>
      <c r="D134" s="216" t="s">
        <v>228</v>
      </c>
      <c r="E134" s="200" t="s">
        <v>93</v>
      </c>
      <c r="F134" s="201">
        <v>15</v>
      </c>
      <c r="G134" s="194">
        <v>277.33300000000003</v>
      </c>
      <c r="H134" s="116">
        <f t="shared" si="82"/>
        <v>4160</v>
      </c>
      <c r="I134" s="151">
        <v>0</v>
      </c>
      <c r="J134" s="116">
        <f>IF(G134&lt;=248.93,0,(IFERROR(IF(ROUND((((H134/F134*30.4)-VLOOKUP((H134/F134*30.4),TARIFA,1))*VLOOKUP((H134/F134*30.4),TARIFA,3)+VLOOKUP((H134/F134*30.4),TARIFA,2)-VLOOKUP((H134/F134*30.4),SUBSIDIO,2))/30.4*F134,2)&gt;0,ROUND((((H134/F134*30.4)-VLOOKUP((H134/F134*30.4),TARIFA,1))*VLOOKUP((H134/F134*30.4),TARIFA,3)+VLOOKUP((H134/F134*30.4),TARIFA,2)-VLOOKUP((H134/F134*30.4),SUBSIDIO,2))/30.4*F134,2),0),0)))</f>
        <v>103.71</v>
      </c>
      <c r="K134" s="116">
        <f>J134</f>
        <v>103.71</v>
      </c>
      <c r="L134" s="116">
        <f>H134+I134-K134</f>
        <v>4056.29</v>
      </c>
      <c r="M134" s="120"/>
      <c r="N134" s="48"/>
    </row>
    <row r="135" spans="1:14" s="5" customFormat="1" ht="30" customHeight="1" x14ac:dyDescent="0.2">
      <c r="B135" s="199">
        <v>102</v>
      </c>
      <c r="C135" s="209" t="s">
        <v>339</v>
      </c>
      <c r="D135" s="216" t="s">
        <v>156</v>
      </c>
      <c r="E135" s="200" t="s">
        <v>54</v>
      </c>
      <c r="F135" s="201">
        <v>15</v>
      </c>
      <c r="G135" s="217">
        <v>103.64449999999999</v>
      </c>
      <c r="H135" s="116">
        <f t="shared" si="82"/>
        <v>1554.67</v>
      </c>
      <c r="I135" s="151">
        <v>0</v>
      </c>
      <c r="J135" s="151">
        <f>IF(G135&lt;=248.93,0,(IFERROR(IF(ROUND((((H135/F135*30.4)-VLOOKUP((H135/F135*30.4),TARIFA,1))*VLOOKUP((H135/F135*30.4),TARIFA,3)+VLOOKUP((H135/F135*30.4),TARIFA,2)-VLOOKUP((H135/F135*30.4),SUBSIDIO,2))/30.4*F135,2)&gt;0,ROUND((((H135/F135*30.4)-VLOOKUP((H135/F135*30.4),TARIFA,1))*VLOOKUP((H135/F135*30.4),TARIFA,3)+VLOOKUP((H135/F135*30.4),TARIFA,2)-VLOOKUP((H135/F135*30.4),SUBSIDIO,2))/30.4*F135,2),0),0)))</f>
        <v>0</v>
      </c>
      <c r="K135" s="151">
        <f>J135</f>
        <v>0</v>
      </c>
      <c r="L135" s="116">
        <f>H135+I135-K135</f>
        <v>1554.67</v>
      </c>
      <c r="M135" s="120"/>
      <c r="N135" s="48"/>
    </row>
    <row r="136" spans="1:14" ht="30" customHeight="1" x14ac:dyDescent="0.2">
      <c r="B136" s="199"/>
      <c r="C136" s="209"/>
      <c r="D136" s="200"/>
      <c r="E136" s="211" t="s">
        <v>33</v>
      </c>
      <c r="F136" s="402"/>
      <c r="G136" s="403"/>
      <c r="H136" s="117">
        <f>SUM(H132:H135)</f>
        <v>9635.84</v>
      </c>
      <c r="I136" s="152">
        <f t="shared" ref="I136:M136" si="83">SUM(I132:I135)</f>
        <v>0</v>
      </c>
      <c r="J136" s="117">
        <f t="shared" si="83"/>
        <v>103.71</v>
      </c>
      <c r="K136" s="117">
        <f t="shared" si="83"/>
        <v>103.71</v>
      </c>
      <c r="L136" s="117">
        <f>SUM(L132:L135)</f>
        <v>9532.130000000001</v>
      </c>
      <c r="M136" s="121">
        <f t="shared" si="83"/>
        <v>0</v>
      </c>
      <c r="N136" s="48"/>
    </row>
    <row r="137" spans="1:14" ht="30" customHeight="1" x14ac:dyDescent="0.2">
      <c r="B137" s="404" t="s">
        <v>73</v>
      </c>
      <c r="C137" s="405"/>
      <c r="D137" s="406"/>
      <c r="E137" s="406"/>
      <c r="F137" s="406"/>
      <c r="G137" s="406"/>
      <c r="H137" s="406"/>
      <c r="I137" s="406"/>
      <c r="J137" s="406"/>
      <c r="K137" s="406"/>
      <c r="L137" s="406"/>
      <c r="M137" s="407"/>
      <c r="N137" s="48"/>
    </row>
    <row r="138" spans="1:14" ht="30" customHeight="1" x14ac:dyDescent="0.2">
      <c r="B138" s="199">
        <v>103</v>
      </c>
      <c r="C138" s="209"/>
      <c r="D138" s="200" t="s">
        <v>229</v>
      </c>
      <c r="E138" s="200" t="s">
        <v>60</v>
      </c>
      <c r="F138" s="201">
        <v>15</v>
      </c>
      <c r="G138" s="194">
        <v>270.39999999999998</v>
      </c>
      <c r="H138" s="116">
        <f>ROUND(F138*G138,2)</f>
        <v>4056</v>
      </c>
      <c r="I138" s="151">
        <v>0</v>
      </c>
      <c r="J138" s="116">
        <f>IF(G138&lt;=248.93,0,(IFERROR(IF(ROUND((((H138/F138*30.4)-VLOOKUP((H138/F138*30.4),TARIFA,1))*VLOOKUP((H138/F138*30.4),TARIFA,3)+VLOOKUP((H138/F138*30.4),TARIFA,2)-VLOOKUP((H138/F138*30.4),SUBSIDIO,2))/30.4*F138,2)&gt;0,ROUND((((H138/F138*30.4)-VLOOKUP((H138/F138*30.4),TARIFA,1))*VLOOKUP((H138/F138*30.4),TARIFA,3)+VLOOKUP((H138/F138*30.4),TARIFA,2)-VLOOKUP((H138/F138*30.4),SUBSIDIO,2))/30.4*F138,2),0),0)))</f>
        <v>92.4</v>
      </c>
      <c r="K138" s="116">
        <f>J138</f>
        <v>92.4</v>
      </c>
      <c r="L138" s="116">
        <f>H138+I138-K138</f>
        <v>3963.6</v>
      </c>
      <c r="M138" s="120"/>
      <c r="N138" s="48"/>
    </row>
    <row r="139" spans="1:14" ht="30" customHeight="1" x14ac:dyDescent="0.2">
      <c r="B139" s="199"/>
      <c r="C139" s="209"/>
      <c r="D139" s="200"/>
      <c r="E139" s="211" t="s">
        <v>33</v>
      </c>
      <c r="F139" s="401"/>
      <c r="G139" s="403"/>
      <c r="H139" s="117">
        <f t="shared" ref="H139:M139" si="84">SUM(H138:H138)</f>
        <v>4056</v>
      </c>
      <c r="I139" s="152">
        <f t="shared" si="84"/>
        <v>0</v>
      </c>
      <c r="J139" s="117">
        <f t="shared" si="84"/>
        <v>92.4</v>
      </c>
      <c r="K139" s="117">
        <f t="shared" si="84"/>
        <v>92.4</v>
      </c>
      <c r="L139" s="117">
        <f t="shared" si="84"/>
        <v>3963.6</v>
      </c>
      <c r="M139" s="121">
        <f t="shared" si="84"/>
        <v>0</v>
      </c>
      <c r="N139" s="48"/>
    </row>
    <row r="140" spans="1:14" ht="30" customHeight="1" x14ac:dyDescent="0.2">
      <c r="B140" s="411" t="s">
        <v>103</v>
      </c>
      <c r="C140" s="412"/>
      <c r="D140" s="413"/>
      <c r="E140" s="413"/>
      <c r="F140" s="413"/>
      <c r="G140" s="413"/>
      <c r="H140" s="413"/>
      <c r="I140" s="413"/>
      <c r="J140" s="413"/>
      <c r="K140" s="413"/>
      <c r="L140" s="413"/>
      <c r="M140" s="414"/>
      <c r="N140" s="48"/>
    </row>
    <row r="141" spans="1:14" s="5" customFormat="1" ht="30" customHeight="1" x14ac:dyDescent="0.2">
      <c r="B141" s="199">
        <v>104</v>
      </c>
      <c r="C141" s="209" t="s">
        <v>339</v>
      </c>
      <c r="D141" s="200" t="s">
        <v>230</v>
      </c>
      <c r="E141" s="200" t="s">
        <v>42</v>
      </c>
      <c r="F141" s="201">
        <v>15</v>
      </c>
      <c r="G141" s="212">
        <v>277.33300000000003</v>
      </c>
      <c r="H141" s="116">
        <f>ROUND(F141*G141,2)</f>
        <v>4160</v>
      </c>
      <c r="I141" s="151">
        <v>0</v>
      </c>
      <c r="J141" s="116">
        <f>IF(G141&lt;=248.93,0,(IFERROR(IF(ROUND((((H141/F141*30.4)-VLOOKUP((H141/F141*30.4),TARIFA,1))*VLOOKUP((H141/F141*30.4),TARIFA,3)+VLOOKUP((H141/F141*30.4),TARIFA,2)-VLOOKUP((H141/F141*30.4),SUBSIDIO,2))/30.4*F141,2)&gt;0,ROUND((((H141/F141*30.4)-VLOOKUP((H141/F141*30.4),TARIFA,1))*VLOOKUP((H141/F141*30.4),TARIFA,3)+VLOOKUP((H141/F141*30.4),TARIFA,2)-VLOOKUP((H141/F141*30.4),SUBSIDIO,2))/30.4*F141,2),0),0)))</f>
        <v>103.71</v>
      </c>
      <c r="K141" s="116">
        <f>J141</f>
        <v>103.71</v>
      </c>
      <c r="L141" s="116">
        <f>H141+I141-K141</f>
        <v>4056.29</v>
      </c>
      <c r="M141" s="120"/>
      <c r="N141" s="48"/>
    </row>
    <row r="142" spans="1:14" ht="30" customHeight="1" x14ac:dyDescent="0.2">
      <c r="B142" s="199"/>
      <c r="C142" s="209"/>
      <c r="D142" s="200"/>
      <c r="E142" s="211" t="s">
        <v>33</v>
      </c>
      <c r="F142" s="401"/>
      <c r="G142" s="403"/>
      <c r="H142" s="117">
        <f t="shared" ref="H142:M142" si="85">SUM(H141:H141)</f>
        <v>4160</v>
      </c>
      <c r="I142" s="152">
        <f t="shared" si="85"/>
        <v>0</v>
      </c>
      <c r="J142" s="117">
        <f t="shared" si="85"/>
        <v>103.71</v>
      </c>
      <c r="K142" s="117">
        <f t="shared" si="85"/>
        <v>103.71</v>
      </c>
      <c r="L142" s="117">
        <f t="shared" si="85"/>
        <v>4056.29</v>
      </c>
      <c r="M142" s="121">
        <f t="shared" si="85"/>
        <v>0</v>
      </c>
      <c r="N142" s="48"/>
    </row>
    <row r="143" spans="1:14" ht="30" customHeight="1" x14ac:dyDescent="0.2">
      <c r="B143" s="223"/>
      <c r="C143" s="221"/>
      <c r="D143" s="224"/>
      <c r="E143" s="225"/>
      <c r="F143" s="221"/>
      <c r="G143" s="221"/>
      <c r="H143" s="221"/>
      <c r="I143" s="221"/>
      <c r="J143" s="221"/>
      <c r="K143" s="221"/>
      <c r="L143" s="221"/>
      <c r="M143" s="222"/>
      <c r="N143" s="48"/>
    </row>
    <row r="144" spans="1:14" s="81" customFormat="1" ht="30" customHeight="1" x14ac:dyDescent="0.2">
      <c r="A144" s="40"/>
      <c r="B144" s="410" t="s">
        <v>127</v>
      </c>
      <c r="C144" s="402"/>
      <c r="D144" s="402"/>
      <c r="E144" s="402"/>
      <c r="F144" s="402"/>
      <c r="G144" s="403"/>
      <c r="H144" s="226">
        <f>H17+H20+H26+H33+H42+H62+H68+H78+H82+H90+H106+H122+H130+H136+H139+H142</f>
        <v>282993.87999999995</v>
      </c>
      <c r="I144" s="226">
        <f>I17+I20+I26+I33+I42+I62+I68+I78+I82+I90+I106+I122+I130+I136+I139+I142</f>
        <v>0</v>
      </c>
      <c r="J144" s="226">
        <f>J17+J20+J26+J33+J42+J62+J68+J78+J82+J90+J106+J122+J130+J136+J139+J142</f>
        <v>5790.8399999999992</v>
      </c>
      <c r="K144" s="226">
        <f>K17+K20+K26+K33+K42+K62+K68+K78+K82+K90+K106+K122+K130+K136+K139+K142</f>
        <v>5790.8399999999992</v>
      </c>
      <c r="L144" s="226">
        <f>L17+L20+L26+L33+L42+L62+L68+L78+L82+L90+L106+L122+L130+L136+L139+L142</f>
        <v>277203.03999999992</v>
      </c>
      <c r="M144" s="226"/>
      <c r="N144" s="56"/>
    </row>
    <row r="145" spans="2:14" s="81" customFormat="1" ht="30" customHeight="1" x14ac:dyDescent="0.2">
      <c r="B145" s="227"/>
      <c r="C145" s="4"/>
      <c r="D145" s="228"/>
      <c r="E145" s="229"/>
      <c r="F145" s="230"/>
      <c r="G145" s="230"/>
      <c r="H145" s="85"/>
      <c r="I145" s="85"/>
      <c r="J145" s="85"/>
      <c r="K145" s="85"/>
      <c r="L145" s="85"/>
      <c r="M145" s="123"/>
      <c r="N145" s="56"/>
    </row>
    <row r="146" spans="2:14" ht="30" customHeight="1" x14ac:dyDescent="0.2">
      <c r="B146" s="227"/>
      <c r="D146" s="228"/>
      <c r="E146" s="229"/>
      <c r="F146" s="230"/>
      <c r="G146" s="230"/>
      <c r="H146" s="85"/>
      <c r="I146" s="85"/>
      <c r="J146" s="85"/>
      <c r="K146" s="85"/>
      <c r="L146" s="85"/>
      <c r="M146" s="123"/>
      <c r="N146" s="48"/>
    </row>
    <row r="147" spans="2:14" ht="31.5" customHeight="1" x14ac:dyDescent="0.2">
      <c r="B147" s="227"/>
      <c r="D147" s="228"/>
      <c r="E147" s="229"/>
      <c r="F147" s="230"/>
      <c r="G147" s="230"/>
      <c r="H147" s="85"/>
      <c r="I147" s="85"/>
      <c r="J147" s="85"/>
      <c r="K147" s="85"/>
      <c r="L147" s="85"/>
      <c r="M147" s="123"/>
      <c r="N147" s="48"/>
    </row>
    <row r="148" spans="2:14" ht="31.5" customHeight="1" x14ac:dyDescent="0.2">
      <c r="B148" s="227"/>
      <c r="D148" s="228"/>
      <c r="E148" s="229"/>
      <c r="F148" s="230"/>
      <c r="G148" s="230"/>
      <c r="H148" s="85"/>
      <c r="I148" s="85"/>
      <c r="J148" s="85"/>
      <c r="K148" s="85"/>
      <c r="L148" s="85"/>
      <c r="M148" s="123"/>
      <c r="N148" s="49"/>
    </row>
    <row r="149" spans="2:14" ht="21.75" customHeight="1" x14ac:dyDescent="0.2">
      <c r="B149" s="231"/>
      <c r="C149" s="61"/>
      <c r="M149" s="124"/>
      <c r="N149" s="48"/>
    </row>
    <row r="150" spans="2:14" ht="21.75" customHeight="1" x14ac:dyDescent="0.2">
      <c r="B150" s="232" t="s">
        <v>431</v>
      </c>
      <c r="C150" s="233"/>
      <c r="D150" s="409" t="s">
        <v>482</v>
      </c>
      <c r="E150" s="409"/>
      <c r="J150" s="233" t="s">
        <v>281</v>
      </c>
      <c r="K150" s="233"/>
      <c r="M150" s="124"/>
      <c r="N150" s="48"/>
    </row>
    <row r="151" spans="2:14" ht="21.75" customHeight="1" x14ac:dyDescent="0.2">
      <c r="B151" s="234"/>
      <c r="C151" s="118"/>
      <c r="D151" s="409" t="s">
        <v>280</v>
      </c>
      <c r="E151" s="409"/>
      <c r="J151" s="409" t="s">
        <v>280</v>
      </c>
      <c r="K151" s="409"/>
      <c r="L151" s="409"/>
      <c r="M151" s="124"/>
      <c r="N151" s="48"/>
    </row>
    <row r="152" spans="2:14" ht="21.75" customHeight="1" thickBot="1" x14ac:dyDescent="0.25">
      <c r="B152" s="235"/>
      <c r="C152" s="236"/>
      <c r="D152" s="237"/>
      <c r="E152" s="238"/>
      <c r="F152" s="125"/>
      <c r="G152" s="125"/>
      <c r="H152" s="125"/>
      <c r="I152" s="125"/>
      <c r="J152" s="125"/>
      <c r="K152" s="125"/>
      <c r="L152" s="125"/>
      <c r="M152" s="239"/>
      <c r="N152" s="48"/>
    </row>
    <row r="153" spans="2:14" ht="21.75" customHeight="1" x14ac:dyDescent="0.2">
      <c r="B153" s="86"/>
      <c r="C153" s="86"/>
      <c r="N153" s="31"/>
    </row>
    <row r="154" spans="2:14" ht="18" customHeight="1" x14ac:dyDescent="0.2">
      <c r="B154" s="118"/>
      <c r="C154" s="118"/>
    </row>
    <row r="155" spans="2:14" x14ac:dyDescent="0.2">
      <c r="B155" s="118"/>
      <c r="C155" s="118"/>
      <c r="J155" s="25" t="s">
        <v>90</v>
      </c>
      <c r="K155" s="145">
        <f>L8+L9+L11+L13+L14+L15+L31+L36+L40+L41+L44+L45+L47+L48+L49+L50+L53+L54+L55+L56+L57+L58+L61+L64+L65+L66+L67+L70+L71+L72+L75+L76+L77+L85+L86+L87+L89+L94+L99+L100+L104+L105+L109+L112+L113+L114+L116+L118+L119+L124+L125+L127+L128+L129+L134+L135+L141+L121+L59+L32+L29+L111+L10+L92+L60</f>
        <v>167193.27000000002</v>
      </c>
    </row>
    <row r="156" spans="2:14" x14ac:dyDescent="0.2">
      <c r="B156" s="118"/>
      <c r="C156" s="118"/>
      <c r="J156" s="25" t="s">
        <v>91</v>
      </c>
      <c r="K156" s="145">
        <f>L16+L19+L28+L30+L35+L37+L38+L39+L46+L51+L52+L73+L74+L80+L84+L88+L93+L96+L97+L98+L102+L103+L108+L110+L115+L117+L120+L126+L132+L133+L138+L95</f>
        <v>87254.51</v>
      </c>
    </row>
    <row r="157" spans="2:14" x14ac:dyDescent="0.2">
      <c r="B157" s="118"/>
      <c r="C157" s="118"/>
      <c r="J157" s="25" t="s">
        <v>481</v>
      </c>
      <c r="K157" s="145">
        <f>L22+L23+L24+L25+L12+L101+L81</f>
        <v>22755.26</v>
      </c>
      <c r="L157" s="145">
        <f>BASE!L107</f>
        <v>11200.289999999999</v>
      </c>
      <c r="M157" s="145">
        <f>K157+L157</f>
        <v>33955.549999999996</v>
      </c>
    </row>
    <row r="158" spans="2:14" x14ac:dyDescent="0.2">
      <c r="B158" s="118"/>
      <c r="C158" s="118"/>
      <c r="K158" s="145">
        <f>SUM(K155:K157)</f>
        <v>277203.04000000004</v>
      </c>
    </row>
    <row r="159" spans="2:14" x14ac:dyDescent="0.2">
      <c r="B159" s="118"/>
      <c r="C159" s="118"/>
      <c r="J159" s="25" t="s">
        <v>289</v>
      </c>
      <c r="K159" s="146">
        <f>K158-L144</f>
        <v>0</v>
      </c>
    </row>
    <row r="160" spans="2:14" x14ac:dyDescent="0.2">
      <c r="B160" s="118"/>
      <c r="C160" s="118"/>
    </row>
  </sheetData>
  <mergeCells count="39">
    <mergeCell ref="D150:E150"/>
    <mergeCell ref="B91:M91"/>
    <mergeCell ref="B140:M140"/>
    <mergeCell ref="B137:M137"/>
    <mergeCell ref="F139:G139"/>
    <mergeCell ref="B107:M107"/>
    <mergeCell ref="F106:G106"/>
    <mergeCell ref="F122:G122"/>
    <mergeCell ref="F130:G130"/>
    <mergeCell ref="F136:G136"/>
    <mergeCell ref="B123:M123"/>
    <mergeCell ref="B131:M131"/>
    <mergeCell ref="D151:E151"/>
    <mergeCell ref="J151:L151"/>
    <mergeCell ref="F20:G20"/>
    <mergeCell ref="B144:G144"/>
    <mergeCell ref="B63:M63"/>
    <mergeCell ref="F62:G62"/>
    <mergeCell ref="F26:G26"/>
    <mergeCell ref="F33:G33"/>
    <mergeCell ref="F142:G142"/>
    <mergeCell ref="F68:G68"/>
    <mergeCell ref="F78:G78"/>
    <mergeCell ref="F82:G82"/>
    <mergeCell ref="B27:M27"/>
    <mergeCell ref="F42:G42"/>
    <mergeCell ref="B34:M34"/>
    <mergeCell ref="B79:M79"/>
    <mergeCell ref="F90:G90"/>
    <mergeCell ref="B69:M69"/>
    <mergeCell ref="E2:J2"/>
    <mergeCell ref="E5:J5"/>
    <mergeCell ref="K5:M5"/>
    <mergeCell ref="D6:I6"/>
    <mergeCell ref="F17:G17"/>
    <mergeCell ref="B18:M18"/>
    <mergeCell ref="B21:M21"/>
    <mergeCell ref="B83:M83"/>
    <mergeCell ref="B43:M43"/>
  </mergeCells>
  <pageMargins left="0.25" right="0.25" top="0.75" bottom="0.75" header="0.3" footer="0.3"/>
  <pageSetup scale="67" fitToHeight="0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AN43"/>
  <sheetViews>
    <sheetView showGridLines="0" view="pageBreakPreview" topLeftCell="B12" zoomScale="60" zoomScaleNormal="70" workbookViewId="0">
      <selection activeCell="F13" sqref="F1:F1048576"/>
    </sheetView>
  </sheetViews>
  <sheetFormatPr baseColWidth="10" defaultColWidth="11.42578125" defaultRowHeight="17.25" x14ac:dyDescent="0.2"/>
  <cols>
    <col min="1" max="1" width="5.140625" style="5" customWidth="1"/>
    <col min="2" max="3" width="5.5703125" style="5" customWidth="1"/>
    <col min="4" max="4" width="37.7109375" style="71" customWidth="1"/>
    <col min="5" max="5" width="37.42578125" style="5" customWidth="1"/>
    <col min="6" max="6" width="10.28515625" style="5" customWidth="1"/>
    <col min="7" max="7" width="10" style="5" customWidth="1"/>
    <col min="8" max="8" width="24.42578125" style="5" customWidth="1"/>
    <col min="9" max="9" width="11.85546875" style="5" hidden="1" customWidth="1"/>
    <col min="10" max="10" width="12.140625" style="5" hidden="1" customWidth="1"/>
    <col min="11" max="11" width="11.5703125" style="5" hidden="1" customWidth="1"/>
    <col min="12" max="12" width="12" style="5" hidden="1" customWidth="1"/>
    <col min="13" max="13" width="12.7109375" style="5" hidden="1" customWidth="1"/>
    <col min="14" max="14" width="14.42578125" style="5" hidden="1" customWidth="1"/>
    <col min="15" max="15" width="14.28515625" style="5" hidden="1" customWidth="1"/>
    <col min="16" max="16" width="8.7109375" style="5" hidden="1" customWidth="1"/>
    <col min="17" max="17" width="13.140625" style="5" hidden="1" customWidth="1"/>
    <col min="18" max="18" width="13.5703125" style="5" hidden="1" customWidth="1"/>
    <col min="19" max="19" width="12.7109375" style="5" hidden="1" customWidth="1"/>
    <col min="20" max="20" width="13.42578125" style="5" hidden="1" customWidth="1"/>
    <col min="21" max="22" width="13.140625" style="5" hidden="1" customWidth="1"/>
    <col min="23" max="23" width="10.5703125" style="5" hidden="1" customWidth="1"/>
    <col min="24" max="24" width="12.85546875" style="5" hidden="1" customWidth="1"/>
    <col min="25" max="25" width="13.140625" style="5" hidden="1" customWidth="1"/>
    <col min="26" max="26" width="11.5703125" style="5" hidden="1" customWidth="1"/>
    <col min="27" max="27" width="7.7109375" style="5" hidden="1" customWidth="1"/>
    <col min="28" max="29" width="11.85546875" style="5" hidden="1" customWidth="1"/>
    <col min="30" max="30" width="11.28515625" style="5" hidden="1" customWidth="1"/>
    <col min="31" max="31" width="10.42578125" style="5" hidden="1" customWidth="1"/>
    <col min="32" max="32" width="12.28515625" style="5" hidden="1" customWidth="1"/>
    <col min="33" max="33" width="13.140625" style="5" hidden="1" customWidth="1"/>
    <col min="34" max="34" width="19.85546875" style="5" hidden="1" customWidth="1"/>
    <col min="35" max="35" width="17.5703125" style="183" customWidth="1"/>
    <col min="36" max="36" width="56.42578125" style="5" customWidth="1"/>
    <col min="37" max="37" width="12.28515625" style="172" bestFit="1" customWidth="1"/>
    <col min="38" max="38" width="15.140625" style="170" customWidth="1"/>
    <col min="39" max="16384" width="11.42578125" style="5"/>
  </cols>
  <sheetData>
    <row r="3" spans="1:40" x14ac:dyDescent="0.2">
      <c r="B3" s="39"/>
      <c r="C3" s="39"/>
      <c r="D3" s="68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168"/>
      <c r="AJ3" s="39"/>
      <c r="AK3" s="169"/>
    </row>
    <row r="4" spans="1:40" x14ac:dyDescent="0.2">
      <c r="B4" s="39"/>
      <c r="C4" s="39"/>
      <c r="D4" s="68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168"/>
      <c r="AJ4" s="39"/>
      <c r="AK4" s="169"/>
    </row>
    <row r="5" spans="1:40" x14ac:dyDescent="0.2">
      <c r="B5" s="39"/>
      <c r="C5" s="39"/>
      <c r="D5" s="68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168"/>
      <c r="AJ5" s="39"/>
      <c r="AK5" s="169"/>
    </row>
    <row r="6" spans="1:40" x14ac:dyDescent="0.2">
      <c r="B6" s="39"/>
      <c r="C6" s="39"/>
      <c r="D6" s="68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168"/>
      <c r="AJ6" s="39"/>
      <c r="AK6" s="169"/>
    </row>
    <row r="7" spans="1:40" x14ac:dyDescent="0.2">
      <c r="B7" s="39"/>
      <c r="C7" s="39"/>
      <c r="D7" s="68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168"/>
      <c r="AJ7" s="39"/>
      <c r="AK7" s="169"/>
    </row>
    <row r="8" spans="1:40" x14ac:dyDescent="0.2">
      <c r="B8" s="39"/>
      <c r="C8" s="39"/>
      <c r="D8" s="68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168"/>
      <c r="AJ8" s="39"/>
      <c r="AK8" s="169"/>
    </row>
    <row r="9" spans="1:40" ht="30" customHeight="1" x14ac:dyDescent="0.2">
      <c r="B9" s="39"/>
      <c r="C9" s="39"/>
      <c r="D9" s="68"/>
      <c r="E9" s="39"/>
      <c r="F9" s="61" t="s">
        <v>29</v>
      </c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168"/>
      <c r="AJ9" s="39"/>
      <c r="AK9" s="169"/>
      <c r="AM9" s="77"/>
      <c r="AN9" s="5" t="s">
        <v>301</v>
      </c>
    </row>
    <row r="10" spans="1:40" x14ac:dyDescent="0.2">
      <c r="B10" s="39"/>
      <c r="C10" s="39"/>
      <c r="D10" s="68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168"/>
      <c r="AJ10" s="39"/>
      <c r="AK10" s="169"/>
      <c r="AM10" s="171"/>
      <c r="AN10" s="5" t="s">
        <v>302</v>
      </c>
    </row>
    <row r="11" spans="1:40" s="29" customFormat="1" ht="15" x14ac:dyDescent="0.2">
      <c r="A11" s="5"/>
      <c r="B11" s="421"/>
      <c r="C11" s="421"/>
      <c r="D11" s="421"/>
      <c r="E11" s="421"/>
      <c r="F11" s="421"/>
      <c r="G11" s="421"/>
      <c r="H11" s="421"/>
      <c r="I11" s="421"/>
      <c r="J11" s="421"/>
      <c r="K11" s="421"/>
      <c r="L11" s="421"/>
      <c r="M11" s="421"/>
      <c r="N11" s="421"/>
      <c r="O11" s="421"/>
      <c r="P11" s="421"/>
      <c r="Q11" s="421"/>
      <c r="R11" s="421"/>
      <c r="S11" s="421"/>
      <c r="T11" s="421"/>
      <c r="U11" s="421"/>
      <c r="V11" s="421"/>
      <c r="W11" s="421"/>
      <c r="X11" s="421"/>
      <c r="Y11" s="421"/>
      <c r="Z11" s="421"/>
      <c r="AA11" s="421"/>
      <c r="AB11" s="421"/>
      <c r="AC11" s="421"/>
      <c r="AD11" s="421"/>
      <c r="AE11" s="421"/>
      <c r="AF11" s="421"/>
      <c r="AG11" s="421"/>
      <c r="AH11" s="421"/>
      <c r="AI11" s="421"/>
      <c r="AJ11" s="39"/>
      <c r="AK11" s="169"/>
      <c r="AL11" s="172"/>
    </row>
    <row r="12" spans="1:40" s="29" customFormat="1" ht="15" x14ac:dyDescent="0.2">
      <c r="A12" s="5"/>
      <c r="B12" s="422" t="s">
        <v>485</v>
      </c>
      <c r="C12" s="422"/>
      <c r="D12" s="422"/>
      <c r="E12" s="422"/>
      <c r="F12" s="422"/>
      <c r="G12" s="422"/>
      <c r="H12" s="422"/>
      <c r="I12" s="422"/>
      <c r="J12" s="422"/>
      <c r="K12" s="422"/>
      <c r="L12" s="422"/>
      <c r="M12" s="422"/>
      <c r="N12" s="422"/>
      <c r="O12" s="422"/>
      <c r="P12" s="422"/>
      <c r="Q12" s="422"/>
      <c r="R12" s="422"/>
      <c r="S12" s="422"/>
      <c r="T12" s="422"/>
      <c r="U12" s="422"/>
      <c r="V12" s="422"/>
      <c r="W12" s="422"/>
      <c r="X12" s="422"/>
      <c r="Y12" s="422"/>
      <c r="Z12" s="422"/>
      <c r="AA12" s="422"/>
      <c r="AB12" s="422"/>
      <c r="AC12" s="422"/>
      <c r="AD12" s="422"/>
      <c r="AE12" s="422"/>
      <c r="AF12" s="422"/>
      <c r="AG12" s="422"/>
      <c r="AH12" s="422"/>
      <c r="AI12" s="422"/>
      <c r="AJ12" s="39"/>
      <c r="AK12" s="169"/>
      <c r="AL12" s="172"/>
    </row>
    <row r="13" spans="1:40" s="29" customFormat="1" ht="28.5" customHeight="1" x14ac:dyDescent="0.2">
      <c r="A13" s="5"/>
      <c r="B13" s="38"/>
      <c r="C13" s="38"/>
      <c r="D13" s="69"/>
      <c r="E13" s="38"/>
      <c r="F13" s="37" t="s">
        <v>131</v>
      </c>
      <c r="G13" s="37" t="s">
        <v>1</v>
      </c>
      <c r="H13" s="423" t="s">
        <v>0</v>
      </c>
      <c r="I13" s="423"/>
      <c r="J13" s="423"/>
      <c r="K13" s="423"/>
      <c r="L13" s="423"/>
      <c r="M13" s="423"/>
      <c r="N13" s="423"/>
      <c r="O13" s="423"/>
      <c r="P13" s="37"/>
      <c r="Q13" s="37" t="s">
        <v>303</v>
      </c>
      <c r="R13" s="37"/>
      <c r="S13" s="424" t="s">
        <v>304</v>
      </c>
      <c r="T13" s="424"/>
      <c r="U13" s="424"/>
      <c r="V13" s="424"/>
      <c r="W13" s="424"/>
      <c r="X13" s="424"/>
      <c r="Y13" s="37" t="s">
        <v>305</v>
      </c>
      <c r="Z13" s="37" t="s">
        <v>3</v>
      </c>
      <c r="AA13" s="37"/>
      <c r="AB13" s="425" t="s">
        <v>306</v>
      </c>
      <c r="AC13" s="424" t="s">
        <v>307</v>
      </c>
      <c r="AD13" s="424"/>
      <c r="AE13" s="424"/>
      <c r="AF13" s="424"/>
      <c r="AG13" s="424"/>
      <c r="AH13" s="424"/>
      <c r="AI13" s="426" t="s">
        <v>300</v>
      </c>
      <c r="AJ13" s="38"/>
      <c r="AK13" s="169"/>
      <c r="AL13" s="172"/>
    </row>
    <row r="14" spans="1:40" s="29" customFormat="1" x14ac:dyDescent="0.2">
      <c r="A14" s="5"/>
      <c r="B14" s="37" t="s">
        <v>132</v>
      </c>
      <c r="C14" s="37" t="s">
        <v>339</v>
      </c>
      <c r="D14" s="74" t="s">
        <v>14</v>
      </c>
      <c r="E14" s="37" t="s">
        <v>27</v>
      </c>
      <c r="F14" s="43" t="s">
        <v>15</v>
      </c>
      <c r="G14" s="37" t="s">
        <v>16</v>
      </c>
      <c r="H14" s="425" t="s">
        <v>92</v>
      </c>
      <c r="I14" s="37" t="s">
        <v>308</v>
      </c>
      <c r="J14" s="37" t="s">
        <v>308</v>
      </c>
      <c r="K14" s="37" t="s">
        <v>309</v>
      </c>
      <c r="L14" s="37" t="s">
        <v>303</v>
      </c>
      <c r="M14" s="37" t="s">
        <v>310</v>
      </c>
      <c r="N14" s="425" t="s">
        <v>311</v>
      </c>
      <c r="O14" s="425" t="s">
        <v>134</v>
      </c>
      <c r="P14" s="37"/>
      <c r="Q14" s="37" t="s">
        <v>312</v>
      </c>
      <c r="R14" s="37" t="s">
        <v>313</v>
      </c>
      <c r="S14" s="37" t="s">
        <v>5</v>
      </c>
      <c r="T14" s="37" t="s">
        <v>314</v>
      </c>
      <c r="U14" s="37" t="s">
        <v>315</v>
      </c>
      <c r="V14" s="37" t="s">
        <v>316</v>
      </c>
      <c r="W14" s="37" t="s">
        <v>7</v>
      </c>
      <c r="X14" s="37" t="s">
        <v>3</v>
      </c>
      <c r="Y14" s="37" t="s">
        <v>317</v>
      </c>
      <c r="Z14" s="37" t="s">
        <v>318</v>
      </c>
      <c r="AA14" s="37"/>
      <c r="AB14" s="425"/>
      <c r="AC14" s="37" t="s">
        <v>319</v>
      </c>
      <c r="AD14" s="37" t="s">
        <v>320</v>
      </c>
      <c r="AE14" s="37" t="s">
        <v>305</v>
      </c>
      <c r="AF14" s="37" t="s">
        <v>321</v>
      </c>
      <c r="AG14" s="149" t="s">
        <v>322</v>
      </c>
      <c r="AH14" s="425" t="s">
        <v>323</v>
      </c>
      <c r="AI14" s="426"/>
      <c r="AJ14" s="38"/>
      <c r="AK14" s="169"/>
      <c r="AL14" s="172"/>
    </row>
    <row r="15" spans="1:40" s="29" customFormat="1" ht="16.5" customHeight="1" x14ac:dyDescent="0.2">
      <c r="A15" s="5"/>
      <c r="B15" s="37"/>
      <c r="C15" s="37"/>
      <c r="D15" s="74"/>
      <c r="E15" s="37"/>
      <c r="F15" s="37"/>
      <c r="G15" s="37"/>
      <c r="H15" s="425"/>
      <c r="I15" s="37" t="s">
        <v>324</v>
      </c>
      <c r="J15" s="37" t="s">
        <v>325</v>
      </c>
      <c r="K15" s="37"/>
      <c r="L15" s="37" t="s">
        <v>312</v>
      </c>
      <c r="M15" s="37" t="s">
        <v>326</v>
      </c>
      <c r="N15" s="425"/>
      <c r="O15" s="425"/>
      <c r="P15" s="37"/>
      <c r="Q15" s="37" t="s">
        <v>327</v>
      </c>
      <c r="R15" s="37" t="s">
        <v>328</v>
      </c>
      <c r="S15" s="37" t="s">
        <v>6</v>
      </c>
      <c r="T15" s="37" t="s">
        <v>329</v>
      </c>
      <c r="U15" s="37" t="s">
        <v>329</v>
      </c>
      <c r="V15" s="37" t="s">
        <v>330</v>
      </c>
      <c r="W15" s="37" t="s">
        <v>8</v>
      </c>
      <c r="X15" s="37" t="s">
        <v>331</v>
      </c>
      <c r="Y15" s="37" t="s">
        <v>12</v>
      </c>
      <c r="Z15" s="37" t="s">
        <v>332</v>
      </c>
      <c r="AA15" s="37"/>
      <c r="AB15" s="425"/>
      <c r="AC15" s="37"/>
      <c r="AD15" s="37"/>
      <c r="AE15" s="37" t="s">
        <v>333</v>
      </c>
      <c r="AF15" s="37" t="s">
        <v>334</v>
      </c>
      <c r="AG15" s="37"/>
      <c r="AH15" s="425"/>
      <c r="AI15" s="426"/>
      <c r="AJ15" s="37" t="s">
        <v>297</v>
      </c>
      <c r="AK15" s="169"/>
      <c r="AL15" s="172"/>
    </row>
    <row r="16" spans="1:40" s="29" customFormat="1" ht="43.5" customHeight="1" x14ac:dyDescent="0.2">
      <c r="A16" s="5"/>
      <c r="B16" s="38">
        <v>1</v>
      </c>
      <c r="C16" s="38" t="s">
        <v>339</v>
      </c>
      <c r="D16" s="240" t="s">
        <v>31</v>
      </c>
      <c r="E16" s="241" t="s">
        <v>30</v>
      </c>
      <c r="F16" s="241">
        <v>15</v>
      </c>
      <c r="G16" s="242">
        <v>106.133</v>
      </c>
      <c r="H16" s="116">
        <f t="shared" ref="H16:H22" si="0">ROUND(F16*G16,2)</f>
        <v>1592</v>
      </c>
      <c r="I16" s="243">
        <v>0</v>
      </c>
      <c r="J16" s="243">
        <f t="shared" ref="J16:J22" si="1">I16</f>
        <v>0</v>
      </c>
      <c r="K16" s="243">
        <v>0</v>
      </c>
      <c r="L16" s="243">
        <v>0</v>
      </c>
      <c r="M16" s="243">
        <v>0</v>
      </c>
      <c r="N16" s="243">
        <v>0</v>
      </c>
      <c r="O16" s="166">
        <f t="shared" ref="O16:O22" si="2">SUM(H16:N16)</f>
        <v>1592</v>
      </c>
      <c r="P16" s="244"/>
      <c r="Q16" s="166">
        <f t="shared" ref="Q16:Q22" si="3">IF(G16=47.16,0,IF(G16&gt;47.16,L16*0.5,0))</f>
        <v>0</v>
      </c>
      <c r="R16" s="166">
        <f t="shared" ref="R16:R22" si="4">H16+I16+J16+M16+Q16+K16</f>
        <v>1592</v>
      </c>
      <c r="S16" s="166">
        <v>318.01</v>
      </c>
      <c r="T16" s="166">
        <f t="shared" ref="T16:T22" si="5">R16-S16</f>
        <v>1273.99</v>
      </c>
      <c r="U16" s="245">
        <v>6.4000000000000001E-2</v>
      </c>
      <c r="V16" s="166">
        <f t="shared" ref="V16:V22" si="6">T16*U16</f>
        <v>81.535359999999997</v>
      </c>
      <c r="W16" s="166">
        <v>6.15</v>
      </c>
      <c r="X16" s="166">
        <f t="shared" ref="X16:X22" si="7">V16+W16</f>
        <v>87.685360000000003</v>
      </c>
      <c r="Y16" s="166">
        <v>200.7</v>
      </c>
      <c r="Z16" s="166">
        <f t="shared" ref="Z16:Z22" si="8">X16-Y16</f>
        <v>-113.01463999999999</v>
      </c>
      <c r="AA16" s="246"/>
      <c r="AB16" s="166">
        <v>0</v>
      </c>
      <c r="AC16" s="166">
        <f t="shared" ref="AC16:AC22" si="9">IF(Z16&lt;0,0,Z16)</f>
        <v>0</v>
      </c>
      <c r="AD16" s="166">
        <v>0</v>
      </c>
      <c r="AE16" s="243">
        <v>0</v>
      </c>
      <c r="AF16" s="243">
        <v>0</v>
      </c>
      <c r="AG16" s="247">
        <v>0</v>
      </c>
      <c r="AH16" s="166">
        <f t="shared" ref="AH16:AH22" si="10">SUM(AC16:AG16)</f>
        <v>0</v>
      </c>
      <c r="AI16" s="248">
        <f t="shared" ref="AI16:AI22" si="11">O16+AB16-AH16</f>
        <v>1592</v>
      </c>
      <c r="AJ16" s="166"/>
      <c r="AK16" s="50"/>
      <c r="AL16" s="173"/>
      <c r="AM16" s="174"/>
    </row>
    <row r="17" spans="1:39" s="29" customFormat="1" ht="43.5" customHeight="1" x14ac:dyDescent="0.2">
      <c r="A17" s="5"/>
      <c r="B17" s="38">
        <v>2</v>
      </c>
      <c r="C17" s="38" t="s">
        <v>339</v>
      </c>
      <c r="D17" s="240" t="s">
        <v>246</v>
      </c>
      <c r="E17" s="241" t="s">
        <v>30</v>
      </c>
      <c r="F17" s="241">
        <v>15</v>
      </c>
      <c r="G17" s="242">
        <v>106.133</v>
      </c>
      <c r="H17" s="116">
        <f t="shared" si="0"/>
        <v>1592</v>
      </c>
      <c r="I17" s="243">
        <v>0</v>
      </c>
      <c r="J17" s="243">
        <f t="shared" si="1"/>
        <v>0</v>
      </c>
      <c r="K17" s="243">
        <v>0</v>
      </c>
      <c r="L17" s="243">
        <v>0</v>
      </c>
      <c r="M17" s="243">
        <v>0</v>
      </c>
      <c r="N17" s="243">
        <v>0</v>
      </c>
      <c r="O17" s="166">
        <f t="shared" si="2"/>
        <v>1592</v>
      </c>
      <c r="P17" s="244"/>
      <c r="Q17" s="166">
        <f t="shared" si="3"/>
        <v>0</v>
      </c>
      <c r="R17" s="166">
        <f t="shared" si="4"/>
        <v>1592</v>
      </c>
      <c r="S17" s="166">
        <v>318.01</v>
      </c>
      <c r="T17" s="166">
        <f t="shared" si="5"/>
        <v>1273.99</v>
      </c>
      <c r="U17" s="245">
        <v>6.4000000000000001E-2</v>
      </c>
      <c r="V17" s="166">
        <f t="shared" si="6"/>
        <v>81.535359999999997</v>
      </c>
      <c r="W17" s="166">
        <v>6.15</v>
      </c>
      <c r="X17" s="166">
        <f t="shared" si="7"/>
        <v>87.685360000000003</v>
      </c>
      <c r="Y17" s="166">
        <v>200.7</v>
      </c>
      <c r="Z17" s="166">
        <f t="shared" si="8"/>
        <v>-113.01463999999999</v>
      </c>
      <c r="AA17" s="246"/>
      <c r="AB17" s="166">
        <v>0</v>
      </c>
      <c r="AC17" s="166">
        <f t="shared" si="9"/>
        <v>0</v>
      </c>
      <c r="AD17" s="166">
        <v>0</v>
      </c>
      <c r="AE17" s="243">
        <v>0</v>
      </c>
      <c r="AF17" s="243">
        <v>0</v>
      </c>
      <c r="AG17" s="247">
        <v>0</v>
      </c>
      <c r="AH17" s="166">
        <f t="shared" si="10"/>
        <v>0</v>
      </c>
      <c r="AI17" s="248">
        <f t="shared" si="11"/>
        <v>1592</v>
      </c>
      <c r="AJ17" s="166"/>
      <c r="AK17" s="50"/>
      <c r="AL17" s="173"/>
      <c r="AM17" s="174"/>
    </row>
    <row r="18" spans="1:39" s="29" customFormat="1" ht="43.5" customHeight="1" x14ac:dyDescent="0.2">
      <c r="A18" s="5"/>
      <c r="B18" s="38">
        <v>3</v>
      </c>
      <c r="C18" s="38" t="s">
        <v>339</v>
      </c>
      <c r="D18" s="240" t="s">
        <v>74</v>
      </c>
      <c r="E18" s="241" t="s">
        <v>30</v>
      </c>
      <c r="F18" s="241">
        <v>15</v>
      </c>
      <c r="G18" s="242">
        <v>106.133</v>
      </c>
      <c r="H18" s="116">
        <f t="shared" si="0"/>
        <v>1592</v>
      </c>
      <c r="I18" s="243">
        <v>0</v>
      </c>
      <c r="J18" s="243">
        <f t="shared" si="1"/>
        <v>0</v>
      </c>
      <c r="K18" s="243">
        <v>0</v>
      </c>
      <c r="L18" s="243">
        <v>0</v>
      </c>
      <c r="M18" s="243">
        <v>0</v>
      </c>
      <c r="N18" s="243">
        <v>0</v>
      </c>
      <c r="O18" s="166">
        <f t="shared" si="2"/>
        <v>1592</v>
      </c>
      <c r="P18" s="244"/>
      <c r="Q18" s="166">
        <f t="shared" si="3"/>
        <v>0</v>
      </c>
      <c r="R18" s="166">
        <f t="shared" si="4"/>
        <v>1592</v>
      </c>
      <c r="S18" s="166">
        <v>318.01</v>
      </c>
      <c r="T18" s="166">
        <f t="shared" si="5"/>
        <v>1273.99</v>
      </c>
      <c r="U18" s="245">
        <v>6.4000000000000001E-2</v>
      </c>
      <c r="V18" s="166">
        <f t="shared" si="6"/>
        <v>81.535359999999997</v>
      </c>
      <c r="W18" s="166">
        <v>6.15</v>
      </c>
      <c r="X18" s="166">
        <f t="shared" si="7"/>
        <v>87.685360000000003</v>
      </c>
      <c r="Y18" s="166">
        <v>200.7</v>
      </c>
      <c r="Z18" s="166">
        <f t="shared" si="8"/>
        <v>-113.01463999999999</v>
      </c>
      <c r="AA18" s="246"/>
      <c r="AB18" s="166">
        <v>0</v>
      </c>
      <c r="AC18" s="166">
        <f t="shared" si="9"/>
        <v>0</v>
      </c>
      <c r="AD18" s="166">
        <v>0</v>
      </c>
      <c r="AE18" s="243">
        <v>0</v>
      </c>
      <c r="AF18" s="243">
        <v>0</v>
      </c>
      <c r="AG18" s="247">
        <v>0</v>
      </c>
      <c r="AH18" s="166">
        <f t="shared" si="10"/>
        <v>0</v>
      </c>
      <c r="AI18" s="248">
        <f t="shared" si="11"/>
        <v>1592</v>
      </c>
      <c r="AJ18" s="166"/>
      <c r="AK18" s="169"/>
      <c r="AL18" s="172"/>
    </row>
    <row r="19" spans="1:39" s="29" customFormat="1" ht="43.5" customHeight="1" x14ac:dyDescent="0.2">
      <c r="A19" s="5"/>
      <c r="B19" s="38">
        <v>4</v>
      </c>
      <c r="C19" s="38" t="s">
        <v>339</v>
      </c>
      <c r="D19" s="240" t="s">
        <v>32</v>
      </c>
      <c r="E19" s="241" t="s">
        <v>30</v>
      </c>
      <c r="F19" s="241">
        <v>15</v>
      </c>
      <c r="G19" s="242">
        <v>106.133</v>
      </c>
      <c r="H19" s="116">
        <f t="shared" si="0"/>
        <v>1592</v>
      </c>
      <c r="I19" s="243">
        <v>0</v>
      </c>
      <c r="J19" s="243">
        <f t="shared" si="1"/>
        <v>0</v>
      </c>
      <c r="K19" s="243">
        <v>0</v>
      </c>
      <c r="L19" s="243">
        <v>0</v>
      </c>
      <c r="M19" s="243">
        <v>0</v>
      </c>
      <c r="N19" s="243">
        <v>0</v>
      </c>
      <c r="O19" s="166">
        <f t="shared" si="2"/>
        <v>1592</v>
      </c>
      <c r="P19" s="244"/>
      <c r="Q19" s="166">
        <f t="shared" si="3"/>
        <v>0</v>
      </c>
      <c r="R19" s="166">
        <f t="shared" si="4"/>
        <v>1592</v>
      </c>
      <c r="S19" s="166">
        <v>318.01</v>
      </c>
      <c r="T19" s="166">
        <f t="shared" si="5"/>
        <v>1273.99</v>
      </c>
      <c r="U19" s="245">
        <v>6.4000000000000001E-2</v>
      </c>
      <c r="V19" s="166">
        <f t="shared" si="6"/>
        <v>81.535359999999997</v>
      </c>
      <c r="W19" s="166">
        <v>6.15</v>
      </c>
      <c r="X19" s="166">
        <f t="shared" si="7"/>
        <v>87.685360000000003</v>
      </c>
      <c r="Y19" s="166">
        <v>200.7</v>
      </c>
      <c r="Z19" s="166">
        <f t="shared" si="8"/>
        <v>-113.01463999999999</v>
      </c>
      <c r="AA19" s="246"/>
      <c r="AB19" s="166">
        <v>0</v>
      </c>
      <c r="AC19" s="166">
        <f t="shared" si="9"/>
        <v>0</v>
      </c>
      <c r="AD19" s="166">
        <v>0</v>
      </c>
      <c r="AE19" s="243">
        <v>0</v>
      </c>
      <c r="AF19" s="243">
        <v>0</v>
      </c>
      <c r="AG19" s="247">
        <v>0</v>
      </c>
      <c r="AH19" s="166">
        <f t="shared" si="10"/>
        <v>0</v>
      </c>
      <c r="AI19" s="248">
        <f t="shared" si="11"/>
        <v>1592</v>
      </c>
      <c r="AJ19" s="166"/>
      <c r="AK19" s="169"/>
      <c r="AL19" s="172"/>
    </row>
    <row r="20" spans="1:39" s="29" customFormat="1" ht="43.5" customHeight="1" x14ac:dyDescent="0.2">
      <c r="A20" s="5"/>
      <c r="B20" s="38">
        <v>5</v>
      </c>
      <c r="C20" s="38" t="s">
        <v>339</v>
      </c>
      <c r="D20" s="240" t="s">
        <v>83</v>
      </c>
      <c r="E20" s="241" t="s">
        <v>30</v>
      </c>
      <c r="F20" s="241">
        <v>15</v>
      </c>
      <c r="G20" s="242">
        <v>106.133</v>
      </c>
      <c r="H20" s="116">
        <f t="shared" si="0"/>
        <v>1592</v>
      </c>
      <c r="I20" s="243">
        <v>0</v>
      </c>
      <c r="J20" s="243">
        <f t="shared" si="1"/>
        <v>0</v>
      </c>
      <c r="K20" s="243">
        <v>0</v>
      </c>
      <c r="L20" s="243">
        <v>0</v>
      </c>
      <c r="M20" s="243">
        <v>0</v>
      </c>
      <c r="N20" s="243">
        <v>0</v>
      </c>
      <c r="O20" s="166">
        <f t="shared" si="2"/>
        <v>1592</v>
      </c>
      <c r="P20" s="244"/>
      <c r="Q20" s="166">
        <f t="shared" si="3"/>
        <v>0</v>
      </c>
      <c r="R20" s="166">
        <f t="shared" si="4"/>
        <v>1592</v>
      </c>
      <c r="S20" s="166">
        <v>318.01</v>
      </c>
      <c r="T20" s="166">
        <f t="shared" si="5"/>
        <v>1273.99</v>
      </c>
      <c r="U20" s="245">
        <v>6.4000000000000001E-2</v>
      </c>
      <c r="V20" s="166">
        <f t="shared" si="6"/>
        <v>81.535359999999997</v>
      </c>
      <c r="W20" s="166">
        <v>6.15</v>
      </c>
      <c r="X20" s="166">
        <f t="shared" si="7"/>
        <v>87.685360000000003</v>
      </c>
      <c r="Y20" s="166">
        <v>200.7</v>
      </c>
      <c r="Z20" s="166">
        <f t="shared" si="8"/>
        <v>-113.01463999999999</v>
      </c>
      <c r="AA20" s="246"/>
      <c r="AB20" s="166">
        <v>0</v>
      </c>
      <c r="AC20" s="166">
        <f t="shared" si="9"/>
        <v>0</v>
      </c>
      <c r="AD20" s="166">
        <v>0</v>
      </c>
      <c r="AE20" s="243">
        <v>0</v>
      </c>
      <c r="AF20" s="243">
        <v>0</v>
      </c>
      <c r="AG20" s="247">
        <v>0</v>
      </c>
      <c r="AH20" s="166">
        <f t="shared" si="10"/>
        <v>0</v>
      </c>
      <c r="AI20" s="248">
        <f t="shared" si="11"/>
        <v>1592</v>
      </c>
      <c r="AJ20" s="166"/>
      <c r="AK20" s="169"/>
      <c r="AL20" s="172"/>
    </row>
    <row r="21" spans="1:39" s="29" customFormat="1" ht="43.5" customHeight="1" x14ac:dyDescent="0.2">
      <c r="A21" s="5"/>
      <c r="B21" s="38">
        <v>6</v>
      </c>
      <c r="C21" s="38" t="s">
        <v>339</v>
      </c>
      <c r="D21" s="240" t="s">
        <v>154</v>
      </c>
      <c r="E21" s="241" t="s">
        <v>30</v>
      </c>
      <c r="F21" s="241">
        <v>15</v>
      </c>
      <c r="G21" s="242">
        <v>106.133</v>
      </c>
      <c r="H21" s="116">
        <f t="shared" si="0"/>
        <v>1592</v>
      </c>
      <c r="I21" s="243">
        <v>0</v>
      </c>
      <c r="J21" s="243">
        <f t="shared" si="1"/>
        <v>0</v>
      </c>
      <c r="K21" s="243">
        <v>0</v>
      </c>
      <c r="L21" s="243">
        <v>0</v>
      </c>
      <c r="M21" s="243">
        <v>0</v>
      </c>
      <c r="N21" s="243">
        <v>0</v>
      </c>
      <c r="O21" s="166">
        <f t="shared" si="2"/>
        <v>1592</v>
      </c>
      <c r="P21" s="244"/>
      <c r="Q21" s="166">
        <f t="shared" si="3"/>
        <v>0</v>
      </c>
      <c r="R21" s="166">
        <f t="shared" si="4"/>
        <v>1592</v>
      </c>
      <c r="S21" s="166">
        <v>318.01</v>
      </c>
      <c r="T21" s="166">
        <f t="shared" si="5"/>
        <v>1273.99</v>
      </c>
      <c r="U21" s="245">
        <v>6.4000000000000001E-2</v>
      </c>
      <c r="V21" s="166">
        <f t="shared" si="6"/>
        <v>81.535359999999997</v>
      </c>
      <c r="W21" s="166">
        <v>6.15</v>
      </c>
      <c r="X21" s="166">
        <f t="shared" si="7"/>
        <v>87.685360000000003</v>
      </c>
      <c r="Y21" s="166">
        <v>200.7</v>
      </c>
      <c r="Z21" s="166">
        <f t="shared" si="8"/>
        <v>-113.01463999999999</v>
      </c>
      <c r="AA21" s="246"/>
      <c r="AB21" s="166">
        <v>0</v>
      </c>
      <c r="AC21" s="166">
        <f t="shared" si="9"/>
        <v>0</v>
      </c>
      <c r="AD21" s="166">
        <v>0</v>
      </c>
      <c r="AE21" s="243">
        <v>0</v>
      </c>
      <c r="AF21" s="243">
        <v>0</v>
      </c>
      <c r="AG21" s="247">
        <v>0</v>
      </c>
      <c r="AH21" s="166">
        <f t="shared" si="10"/>
        <v>0</v>
      </c>
      <c r="AI21" s="248">
        <f t="shared" si="11"/>
        <v>1592</v>
      </c>
      <c r="AJ21" s="166"/>
      <c r="AK21" s="169"/>
      <c r="AL21" s="172"/>
    </row>
    <row r="22" spans="1:39" s="29" customFormat="1" ht="30.75" customHeight="1" x14ac:dyDescent="0.2">
      <c r="A22" s="5"/>
      <c r="B22" s="38">
        <v>7</v>
      </c>
      <c r="C22" s="38" t="s">
        <v>339</v>
      </c>
      <c r="D22" s="249" t="s">
        <v>124</v>
      </c>
      <c r="E22" s="241" t="s">
        <v>30</v>
      </c>
      <c r="F22" s="38">
        <v>15</v>
      </c>
      <c r="G22" s="242">
        <v>106.133</v>
      </c>
      <c r="H22" s="116">
        <f t="shared" si="0"/>
        <v>1592</v>
      </c>
      <c r="I22" s="243">
        <v>0</v>
      </c>
      <c r="J22" s="243">
        <f t="shared" si="1"/>
        <v>0</v>
      </c>
      <c r="K22" s="243">
        <v>0</v>
      </c>
      <c r="L22" s="243">
        <v>0</v>
      </c>
      <c r="M22" s="243">
        <v>0</v>
      </c>
      <c r="N22" s="243">
        <v>0</v>
      </c>
      <c r="O22" s="166">
        <f t="shared" si="2"/>
        <v>1592</v>
      </c>
      <c r="P22" s="244"/>
      <c r="Q22" s="166">
        <f t="shared" si="3"/>
        <v>0</v>
      </c>
      <c r="R22" s="166">
        <f t="shared" si="4"/>
        <v>1592</v>
      </c>
      <c r="S22" s="166">
        <v>318.01</v>
      </c>
      <c r="T22" s="166">
        <f t="shared" si="5"/>
        <v>1273.99</v>
      </c>
      <c r="U22" s="245">
        <v>6.4000000000000001E-2</v>
      </c>
      <c r="V22" s="166">
        <f t="shared" si="6"/>
        <v>81.535359999999997</v>
      </c>
      <c r="W22" s="166">
        <v>6.15</v>
      </c>
      <c r="X22" s="166">
        <f t="shared" si="7"/>
        <v>87.685360000000003</v>
      </c>
      <c r="Y22" s="166">
        <v>200.7</v>
      </c>
      <c r="Z22" s="166">
        <f t="shared" si="8"/>
        <v>-113.01463999999999</v>
      </c>
      <c r="AA22" s="244"/>
      <c r="AB22" s="166">
        <v>0</v>
      </c>
      <c r="AC22" s="166">
        <f t="shared" si="9"/>
        <v>0</v>
      </c>
      <c r="AD22" s="166">
        <v>0</v>
      </c>
      <c r="AE22" s="243">
        <v>0</v>
      </c>
      <c r="AF22" s="243">
        <v>0</v>
      </c>
      <c r="AG22" s="247">
        <v>0</v>
      </c>
      <c r="AH22" s="166">
        <f t="shared" si="10"/>
        <v>0</v>
      </c>
      <c r="AI22" s="248">
        <f t="shared" si="11"/>
        <v>1592</v>
      </c>
      <c r="AJ22" s="38"/>
      <c r="AK22" s="50"/>
      <c r="AL22" s="173"/>
    </row>
    <row r="23" spans="1:39" s="29" customFormat="1" ht="30.75" customHeight="1" x14ac:dyDescent="0.2">
      <c r="A23" s="5"/>
      <c r="B23" s="38">
        <v>8</v>
      </c>
      <c r="C23" s="38" t="s">
        <v>339</v>
      </c>
      <c r="D23" s="249" t="s">
        <v>452</v>
      </c>
      <c r="E23" s="241" t="s">
        <v>30</v>
      </c>
      <c r="F23" s="38">
        <v>15</v>
      </c>
      <c r="G23" s="242">
        <v>106.133</v>
      </c>
      <c r="H23" s="116">
        <f t="shared" ref="H23" si="12">ROUND(F23*G23,2)</f>
        <v>1592</v>
      </c>
      <c r="I23" s="243">
        <v>0</v>
      </c>
      <c r="J23" s="243">
        <f t="shared" ref="J23" si="13">I23</f>
        <v>0</v>
      </c>
      <c r="K23" s="243">
        <v>0</v>
      </c>
      <c r="L23" s="243">
        <v>0</v>
      </c>
      <c r="M23" s="243">
        <v>0</v>
      </c>
      <c r="N23" s="243">
        <v>0</v>
      </c>
      <c r="O23" s="166">
        <f t="shared" ref="O23" si="14">SUM(H23:N23)</f>
        <v>1592</v>
      </c>
      <c r="P23" s="244"/>
      <c r="Q23" s="166">
        <f t="shared" ref="Q23" si="15">IF(G23=47.16,0,IF(G23&gt;47.16,L23*0.5,0))</f>
        <v>0</v>
      </c>
      <c r="R23" s="166">
        <f t="shared" ref="R23" si="16">H23+I23+J23+M23+Q23+K23</f>
        <v>1592</v>
      </c>
      <c r="S23" s="166">
        <v>318.01</v>
      </c>
      <c r="T23" s="166">
        <f t="shared" ref="T23" si="17">R23-S23</f>
        <v>1273.99</v>
      </c>
      <c r="U23" s="245">
        <v>6.4000000000000001E-2</v>
      </c>
      <c r="V23" s="166">
        <f t="shared" ref="V23" si="18">T23*U23</f>
        <v>81.535359999999997</v>
      </c>
      <c r="W23" s="166">
        <v>6.15</v>
      </c>
      <c r="X23" s="166">
        <f t="shared" ref="X23" si="19">V23+W23</f>
        <v>87.685360000000003</v>
      </c>
      <c r="Y23" s="166">
        <v>200.7</v>
      </c>
      <c r="Z23" s="166">
        <f t="shared" ref="Z23" si="20">X23-Y23</f>
        <v>-113.01463999999999</v>
      </c>
      <c r="AA23" s="244"/>
      <c r="AB23" s="166">
        <v>0</v>
      </c>
      <c r="AC23" s="166">
        <f t="shared" ref="AC23" si="21">IF(Z23&lt;0,0,Z23)</f>
        <v>0</v>
      </c>
      <c r="AD23" s="166">
        <v>0</v>
      </c>
      <c r="AE23" s="243">
        <v>0</v>
      </c>
      <c r="AF23" s="243">
        <v>0</v>
      </c>
      <c r="AG23" s="247">
        <v>0</v>
      </c>
      <c r="AH23" s="166">
        <f t="shared" ref="AH23" si="22">SUM(AC23:AG23)</f>
        <v>0</v>
      </c>
      <c r="AI23" s="248">
        <f>O23+AB23-AH23</f>
        <v>1592</v>
      </c>
      <c r="AJ23" s="38"/>
      <c r="AK23" s="50"/>
      <c r="AL23" s="173"/>
    </row>
    <row r="24" spans="1:39" x14ac:dyDescent="0.2">
      <c r="B24" s="39"/>
      <c r="C24" s="39"/>
      <c r="D24" s="68"/>
      <c r="E24" s="39"/>
      <c r="F24" s="39"/>
      <c r="G24" s="39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175"/>
      <c r="T24" s="45"/>
      <c r="U24" s="45"/>
      <c r="V24" s="45"/>
      <c r="W24" s="45"/>
      <c r="X24" s="45"/>
      <c r="Y24" s="175"/>
      <c r="Z24" s="45"/>
      <c r="AA24" s="45"/>
      <c r="AB24" s="45"/>
      <c r="AC24" s="45"/>
      <c r="AD24" s="45"/>
      <c r="AE24" s="45"/>
      <c r="AF24" s="45"/>
      <c r="AG24" s="45"/>
      <c r="AH24" s="45"/>
      <c r="AI24" s="176"/>
      <c r="AJ24" s="39"/>
      <c r="AK24" s="169"/>
    </row>
    <row r="25" spans="1:39" ht="16.5" thickBot="1" x14ac:dyDescent="0.25">
      <c r="B25" s="415" t="s">
        <v>17</v>
      </c>
      <c r="C25" s="416"/>
      <c r="D25" s="416"/>
      <c r="E25" s="416"/>
      <c r="F25" s="416"/>
      <c r="G25" s="417"/>
      <c r="H25" s="46">
        <f>SUM(H16:H23)</f>
        <v>12736</v>
      </c>
      <c r="I25" s="46">
        <f t="shared" ref="I25:O25" si="23">SUM(I16:I22)</f>
        <v>0</v>
      </c>
      <c r="J25" s="46">
        <f t="shared" si="23"/>
        <v>0</v>
      </c>
      <c r="K25" s="46">
        <f t="shared" si="23"/>
        <v>0</v>
      </c>
      <c r="L25" s="46">
        <f t="shared" si="23"/>
        <v>0</v>
      </c>
      <c r="M25" s="46">
        <f t="shared" si="23"/>
        <v>0</v>
      </c>
      <c r="N25" s="46">
        <f t="shared" si="23"/>
        <v>0</v>
      </c>
      <c r="O25" s="46">
        <f t="shared" si="23"/>
        <v>11144</v>
      </c>
      <c r="P25" s="46"/>
      <c r="Q25" s="46">
        <f t="shared" ref="Q25:Z25" si="24">SUM(Q16:Q22)</f>
        <v>0</v>
      </c>
      <c r="R25" s="46">
        <f t="shared" si="24"/>
        <v>11144</v>
      </c>
      <c r="S25" s="46">
        <f t="shared" si="24"/>
        <v>2226.0699999999997</v>
      </c>
      <c r="T25" s="46">
        <f t="shared" si="24"/>
        <v>8917.93</v>
      </c>
      <c r="U25" s="46">
        <f t="shared" si="24"/>
        <v>0.44800000000000001</v>
      </c>
      <c r="V25" s="46">
        <f t="shared" si="24"/>
        <v>570.74751999999989</v>
      </c>
      <c r="W25" s="46">
        <f t="shared" si="24"/>
        <v>43.05</v>
      </c>
      <c r="X25" s="46">
        <f t="shared" si="24"/>
        <v>613.79752000000008</v>
      </c>
      <c r="Y25" s="46">
        <f t="shared" si="24"/>
        <v>1404.9</v>
      </c>
      <c r="Z25" s="46">
        <f t="shared" si="24"/>
        <v>-791.1024799999999</v>
      </c>
      <c r="AA25" s="46"/>
      <c r="AB25" s="46">
        <f t="shared" ref="AB25:AH25" si="25">SUM(AB16:AB22)</f>
        <v>0</v>
      </c>
      <c r="AC25" s="46">
        <f t="shared" si="25"/>
        <v>0</v>
      </c>
      <c r="AD25" s="46">
        <f t="shared" si="25"/>
        <v>0</v>
      </c>
      <c r="AE25" s="46">
        <f t="shared" si="25"/>
        <v>0</v>
      </c>
      <c r="AF25" s="46">
        <f t="shared" si="25"/>
        <v>0</v>
      </c>
      <c r="AG25" s="46">
        <f t="shared" si="25"/>
        <v>0</v>
      </c>
      <c r="AH25" s="46">
        <f t="shared" si="25"/>
        <v>0</v>
      </c>
      <c r="AI25" s="177">
        <f>SUM(AI16:AI23)</f>
        <v>12736</v>
      </c>
      <c r="AJ25" s="39"/>
      <c r="AK25" s="169"/>
      <c r="AL25" s="173">
        <f>O25+AB25-AH25</f>
        <v>11144</v>
      </c>
    </row>
    <row r="26" spans="1:39" ht="18" thickTop="1" x14ac:dyDescent="0.2">
      <c r="B26" s="39"/>
      <c r="C26" s="39"/>
      <c r="D26" s="68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168"/>
      <c r="AJ26" s="39"/>
      <c r="AK26" s="169"/>
    </row>
    <row r="27" spans="1:39" x14ac:dyDescent="0.2">
      <c r="B27" s="39"/>
      <c r="C27" s="39"/>
      <c r="D27" s="68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168"/>
      <c r="AJ27" s="39"/>
      <c r="AK27" s="169"/>
    </row>
    <row r="28" spans="1:39" x14ac:dyDescent="0.2">
      <c r="B28" s="39"/>
      <c r="C28" s="39"/>
      <c r="D28" s="68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168"/>
      <c r="AJ28" s="39"/>
      <c r="AK28" s="169"/>
    </row>
    <row r="29" spans="1:39" x14ac:dyDescent="0.2">
      <c r="B29" s="39"/>
      <c r="C29" s="39"/>
      <c r="D29" s="68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168"/>
      <c r="AJ29" s="39"/>
      <c r="AK29" s="169"/>
    </row>
    <row r="30" spans="1:39" x14ac:dyDescent="0.2">
      <c r="B30" s="39"/>
      <c r="C30" s="39"/>
      <c r="D30" s="68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168"/>
      <c r="AJ30" s="39"/>
      <c r="AK30" s="169"/>
    </row>
    <row r="31" spans="1:39" x14ac:dyDescent="0.2">
      <c r="B31" s="39"/>
      <c r="C31" s="39"/>
      <c r="D31" s="68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168"/>
      <c r="AJ31" s="39"/>
      <c r="AK31" s="169"/>
    </row>
    <row r="32" spans="1:39" x14ac:dyDescent="0.2">
      <c r="B32" s="39"/>
      <c r="C32" s="39"/>
      <c r="D32" s="68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168"/>
      <c r="AJ32" s="39"/>
      <c r="AK32" s="169"/>
    </row>
    <row r="33" spans="1:37" x14ac:dyDescent="0.2">
      <c r="B33" s="39"/>
      <c r="C33" s="39"/>
      <c r="D33" s="68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168"/>
      <c r="AJ33" s="39"/>
      <c r="AK33" s="169"/>
    </row>
    <row r="34" spans="1:37" ht="18" thickBot="1" x14ac:dyDescent="0.25">
      <c r="A34" s="5" t="s">
        <v>28</v>
      </c>
      <c r="B34" s="39"/>
      <c r="C34" s="39"/>
      <c r="D34" s="70"/>
      <c r="E34" s="47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47"/>
      <c r="AC34" s="47"/>
      <c r="AD34" s="39"/>
      <c r="AE34" s="39"/>
      <c r="AF34" s="39"/>
      <c r="AG34" s="47"/>
      <c r="AH34" s="47"/>
      <c r="AI34" s="178"/>
      <c r="AJ34" s="47"/>
      <c r="AK34" s="169"/>
    </row>
    <row r="35" spans="1:37" ht="31.5" customHeight="1" x14ac:dyDescent="0.2">
      <c r="B35" s="39"/>
      <c r="C35" s="39"/>
      <c r="D35" s="418" t="s">
        <v>482</v>
      </c>
      <c r="E35" s="418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419" t="s">
        <v>267</v>
      </c>
      <c r="AC35" s="419"/>
      <c r="AD35" s="419"/>
      <c r="AE35" s="419"/>
      <c r="AF35" s="419"/>
      <c r="AG35" s="419"/>
      <c r="AH35" s="419"/>
      <c r="AI35" s="419"/>
      <c r="AJ35" s="419"/>
      <c r="AK35" s="169"/>
    </row>
    <row r="36" spans="1:37" ht="31.5" customHeight="1" x14ac:dyDescent="0.2">
      <c r="B36" s="39"/>
      <c r="C36" s="39"/>
      <c r="D36" s="420" t="s">
        <v>137</v>
      </c>
      <c r="E36" s="420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419" t="s">
        <v>335</v>
      </c>
      <c r="AC36" s="419"/>
      <c r="AD36" s="419"/>
      <c r="AE36" s="419"/>
      <c r="AF36" s="419"/>
      <c r="AG36" s="419"/>
      <c r="AH36" s="419"/>
      <c r="AI36" s="419"/>
      <c r="AJ36" s="419"/>
      <c r="AK36" s="169"/>
    </row>
    <row r="37" spans="1:37" x14ac:dyDescent="0.2">
      <c r="B37" s="48"/>
      <c r="C37" s="48"/>
      <c r="D37" s="68"/>
      <c r="E37" s="48"/>
      <c r="F37" s="48"/>
      <c r="G37" s="48"/>
      <c r="AJ37" s="48"/>
      <c r="AK37" s="180"/>
    </row>
    <row r="38" spans="1:37" x14ac:dyDescent="0.2">
      <c r="B38" s="48"/>
      <c r="C38" s="48"/>
      <c r="D38" s="68"/>
      <c r="E38" s="48"/>
      <c r="F38" s="48"/>
      <c r="G38" s="48"/>
      <c r="AJ38" s="48"/>
      <c r="AK38" s="180"/>
    </row>
    <row r="39" spans="1:37" x14ac:dyDescent="0.2">
      <c r="B39" s="48"/>
      <c r="C39" s="48"/>
      <c r="D39" s="68"/>
      <c r="E39" s="48"/>
      <c r="F39" s="48"/>
      <c r="G39" s="48"/>
      <c r="H39" s="48" t="s">
        <v>90</v>
      </c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179">
        <f>+AI16+AI17+AI18+AI19+AI20+AI21+AI22+AI23</f>
        <v>12736</v>
      </c>
      <c r="AJ39" s="48"/>
      <c r="AK39" s="180"/>
    </row>
    <row r="40" spans="1:37" x14ac:dyDescent="0.2">
      <c r="B40" s="48"/>
      <c r="C40" s="48"/>
      <c r="D40" s="68"/>
      <c r="E40" s="48"/>
      <c r="F40" s="48"/>
      <c r="G40" s="48"/>
      <c r="H40" s="48" t="s">
        <v>91</v>
      </c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179">
        <v>0</v>
      </c>
      <c r="AJ40" s="48"/>
      <c r="AK40" s="180"/>
    </row>
    <row r="41" spans="1:37" x14ac:dyDescent="0.2">
      <c r="B41" s="48"/>
      <c r="C41" s="48"/>
      <c r="D41" s="6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179">
        <f>+AI39+AI40</f>
        <v>12736</v>
      </c>
      <c r="AJ41" s="48"/>
      <c r="AK41" s="180"/>
    </row>
    <row r="42" spans="1:37" x14ac:dyDescent="0.2">
      <c r="B42" s="48"/>
      <c r="C42" s="48"/>
      <c r="D42" s="6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181"/>
      <c r="AJ42" s="48"/>
      <c r="AK42" s="180"/>
    </row>
    <row r="43" spans="1:37" x14ac:dyDescent="0.2">
      <c r="AI43" s="182"/>
    </row>
  </sheetData>
  <mergeCells count="16">
    <mergeCell ref="B11:AI11"/>
    <mergeCell ref="B12:AI12"/>
    <mergeCell ref="H13:O13"/>
    <mergeCell ref="S13:X13"/>
    <mergeCell ref="AB13:AB15"/>
    <mergeCell ref="AC13:AH13"/>
    <mergeCell ref="AI13:AI15"/>
    <mergeCell ref="H14:H15"/>
    <mergeCell ref="N14:N15"/>
    <mergeCell ref="O14:O15"/>
    <mergeCell ref="AH14:AH15"/>
    <mergeCell ref="B25:G25"/>
    <mergeCell ref="D35:E35"/>
    <mergeCell ref="AB35:AJ35"/>
    <mergeCell ref="D36:E36"/>
    <mergeCell ref="AB36:AJ36"/>
  </mergeCells>
  <pageMargins left="0.25" right="0.25" top="0.75" bottom="0.75" header="0.3" footer="0.3"/>
  <pageSetup scale="65" fitToHeight="0" orientation="landscape" horizont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AL69"/>
  <sheetViews>
    <sheetView showGridLines="0" view="pageBreakPreview" topLeftCell="A20" zoomScale="60" zoomScaleNormal="100" workbookViewId="0">
      <selection activeCell="E20" sqref="E1:E1048576"/>
    </sheetView>
  </sheetViews>
  <sheetFormatPr baseColWidth="10" defaultRowHeight="12.75" x14ac:dyDescent="0.2"/>
  <cols>
    <col min="3" max="3" width="31" style="34" customWidth="1"/>
    <col min="4" max="4" width="17.140625" style="35" customWidth="1"/>
    <col min="5" max="5" width="13.140625" customWidth="1"/>
    <col min="6" max="6" width="13.42578125" hidden="1" customWidth="1"/>
    <col min="7" max="7" width="13.85546875" style="193" customWidth="1"/>
    <col min="8" max="8" width="27.85546875" customWidth="1"/>
    <col min="9" max="35" width="0" hidden="1" customWidth="1"/>
  </cols>
  <sheetData>
    <row r="2" spans="1:38" x14ac:dyDescent="0.2">
      <c r="A2" s="39"/>
      <c r="B2" s="39"/>
      <c r="C2" s="44"/>
      <c r="D2" s="44"/>
      <c r="E2" s="39"/>
      <c r="F2" s="39"/>
      <c r="G2" s="185"/>
      <c r="H2" s="39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</row>
    <row r="3" spans="1:38" ht="20.25" customHeight="1" x14ac:dyDescent="0.2">
      <c r="A3" s="39"/>
      <c r="B3" s="39"/>
      <c r="C3" s="420" t="s">
        <v>95</v>
      </c>
      <c r="D3" s="420"/>
      <c r="E3" s="420"/>
      <c r="F3" s="420"/>
      <c r="G3" s="420"/>
      <c r="H3" s="420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</row>
    <row r="4" spans="1:38" x14ac:dyDescent="0.2">
      <c r="A4" s="39"/>
      <c r="B4" s="39"/>
      <c r="C4" s="44"/>
      <c r="D4" s="44"/>
      <c r="E4" s="39"/>
      <c r="F4" s="39"/>
      <c r="G4" s="185"/>
      <c r="H4" s="39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</row>
    <row r="5" spans="1:38" x14ac:dyDescent="0.2">
      <c r="A5" s="39"/>
      <c r="B5" s="39"/>
      <c r="C5" s="44"/>
      <c r="D5" s="44"/>
      <c r="E5" s="39"/>
      <c r="F5" s="39"/>
      <c r="G5" s="185"/>
      <c r="H5" s="39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</row>
    <row r="6" spans="1:38" x14ac:dyDescent="0.2">
      <c r="A6" s="438" t="s">
        <v>485</v>
      </c>
      <c r="B6" s="438"/>
      <c r="C6" s="438"/>
      <c r="D6" s="438"/>
      <c r="E6" s="438"/>
      <c r="F6" s="438"/>
      <c r="G6" s="438"/>
      <c r="H6" s="43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</row>
    <row r="7" spans="1:38" x14ac:dyDescent="0.2">
      <c r="A7" s="433" t="s">
        <v>132</v>
      </c>
      <c r="B7" s="195"/>
      <c r="C7" s="439" t="s">
        <v>14</v>
      </c>
      <c r="D7" s="439" t="s">
        <v>27</v>
      </c>
      <c r="E7" s="37" t="s">
        <v>131</v>
      </c>
      <c r="F7" s="37" t="s">
        <v>1</v>
      </c>
      <c r="G7" s="442" t="s">
        <v>300</v>
      </c>
      <c r="H7" s="433" t="s">
        <v>297</v>
      </c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</row>
    <row r="8" spans="1:38" x14ac:dyDescent="0.2">
      <c r="A8" s="434"/>
      <c r="B8" s="196" t="s">
        <v>339</v>
      </c>
      <c r="C8" s="440"/>
      <c r="D8" s="440"/>
      <c r="E8" s="51" t="s">
        <v>15</v>
      </c>
      <c r="F8" s="37" t="s">
        <v>16</v>
      </c>
      <c r="G8" s="443"/>
      <c r="H8" s="434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</row>
    <row r="9" spans="1:38" x14ac:dyDescent="0.2">
      <c r="A9" s="435"/>
      <c r="B9" s="197"/>
      <c r="C9" s="441"/>
      <c r="D9" s="441"/>
      <c r="E9" s="37"/>
      <c r="F9" s="37"/>
      <c r="G9" s="444"/>
      <c r="H9" s="435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184">
        <f>+G10+G11+G12+G13+G14+G15+G16+G17+G18+G19+G20+G21</f>
        <v>16064</v>
      </c>
      <c r="AL9" t="s">
        <v>90</v>
      </c>
    </row>
    <row r="10" spans="1:38" ht="25.5" x14ac:dyDescent="0.2">
      <c r="A10" s="38">
        <v>1</v>
      </c>
      <c r="B10" s="38" t="s">
        <v>339</v>
      </c>
      <c r="C10" s="250" t="s">
        <v>247</v>
      </c>
      <c r="D10" s="79" t="s">
        <v>96</v>
      </c>
      <c r="E10" s="241">
        <v>15</v>
      </c>
      <c r="F10" s="242">
        <v>92.6</v>
      </c>
      <c r="G10" s="251">
        <f>E10*F10</f>
        <v>1389</v>
      </c>
      <c r="H10" s="166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167"/>
      <c r="AL10" t="s">
        <v>91</v>
      </c>
    </row>
    <row r="11" spans="1:38" ht="38.25" x14ac:dyDescent="0.2">
      <c r="A11" s="38">
        <v>2</v>
      </c>
      <c r="B11" s="38" t="s">
        <v>339</v>
      </c>
      <c r="C11" s="250" t="s">
        <v>248</v>
      </c>
      <c r="D11" s="79" t="s">
        <v>97</v>
      </c>
      <c r="E11" s="241">
        <v>15</v>
      </c>
      <c r="F11" s="242">
        <v>133.33000000000001</v>
      </c>
      <c r="G11" s="251">
        <v>2000</v>
      </c>
      <c r="H11" s="166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</row>
    <row r="12" spans="1:38" ht="25.5" x14ac:dyDescent="0.2">
      <c r="A12" s="38">
        <v>3</v>
      </c>
      <c r="B12" s="38" t="s">
        <v>339</v>
      </c>
      <c r="C12" s="250" t="s">
        <v>249</v>
      </c>
      <c r="D12" s="79" t="s">
        <v>135</v>
      </c>
      <c r="E12" s="241">
        <v>15</v>
      </c>
      <c r="F12" s="242">
        <v>86.73</v>
      </c>
      <c r="G12" s="251">
        <v>1301</v>
      </c>
      <c r="H12" s="166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</row>
    <row r="13" spans="1:38" ht="25.5" x14ac:dyDescent="0.2">
      <c r="A13" s="38">
        <v>4</v>
      </c>
      <c r="B13" s="38" t="s">
        <v>339</v>
      </c>
      <c r="C13" s="250" t="s">
        <v>441</v>
      </c>
      <c r="D13" s="79" t="s">
        <v>136</v>
      </c>
      <c r="E13" s="241">
        <v>15</v>
      </c>
      <c r="F13" s="242">
        <v>86.73</v>
      </c>
      <c r="G13" s="251">
        <v>1301</v>
      </c>
      <c r="H13" s="166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</row>
    <row r="14" spans="1:38" ht="25.5" x14ac:dyDescent="0.2">
      <c r="A14" s="38">
        <v>5</v>
      </c>
      <c r="B14" s="38" t="s">
        <v>339</v>
      </c>
      <c r="C14" s="250" t="s">
        <v>250</v>
      </c>
      <c r="D14" s="79" t="s">
        <v>106</v>
      </c>
      <c r="E14" s="241">
        <v>15</v>
      </c>
      <c r="F14" s="242">
        <v>80</v>
      </c>
      <c r="G14" s="251">
        <v>1200</v>
      </c>
      <c r="H14" s="166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</row>
    <row r="15" spans="1:38" ht="25.5" x14ac:dyDescent="0.2">
      <c r="A15" s="38">
        <v>6</v>
      </c>
      <c r="B15" s="38" t="s">
        <v>339</v>
      </c>
      <c r="C15" s="250" t="s">
        <v>251</v>
      </c>
      <c r="D15" s="79" t="s">
        <v>106</v>
      </c>
      <c r="E15" s="241">
        <v>15</v>
      </c>
      <c r="F15" s="242">
        <v>100</v>
      </c>
      <c r="G15" s="251">
        <v>1500</v>
      </c>
      <c r="H15" s="166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</row>
    <row r="16" spans="1:38" ht="38.25" x14ac:dyDescent="0.2">
      <c r="A16" s="38">
        <v>7</v>
      </c>
      <c r="B16" s="38" t="s">
        <v>339</v>
      </c>
      <c r="C16" s="250" t="s">
        <v>252</v>
      </c>
      <c r="D16" s="79" t="s">
        <v>139</v>
      </c>
      <c r="E16" s="241">
        <v>15</v>
      </c>
      <c r="F16" s="242">
        <v>65</v>
      </c>
      <c r="G16" s="251">
        <f>E16*F16</f>
        <v>975</v>
      </c>
      <c r="H16" s="166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</row>
    <row r="17" spans="1:37" s="4" customFormat="1" ht="25.5" x14ac:dyDescent="0.2">
      <c r="A17" s="38">
        <v>8</v>
      </c>
      <c r="B17" s="38" t="s">
        <v>339</v>
      </c>
      <c r="C17" s="252" t="s">
        <v>129</v>
      </c>
      <c r="D17" s="253" t="s">
        <v>130</v>
      </c>
      <c r="E17" s="241">
        <v>15</v>
      </c>
      <c r="F17" s="254">
        <v>88.67</v>
      </c>
      <c r="G17" s="251">
        <v>1330</v>
      </c>
      <c r="H17" s="3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</row>
    <row r="18" spans="1:37" s="4" customFormat="1" ht="25.5" x14ac:dyDescent="0.2">
      <c r="A18" s="38">
        <v>9</v>
      </c>
      <c r="B18" s="38" t="s">
        <v>339</v>
      </c>
      <c r="C18" s="252" t="s">
        <v>253</v>
      </c>
      <c r="D18" s="79" t="s">
        <v>138</v>
      </c>
      <c r="E18" s="241">
        <v>15</v>
      </c>
      <c r="F18" s="254">
        <v>64.53</v>
      </c>
      <c r="G18" s="251">
        <v>968</v>
      </c>
      <c r="H18" s="3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</row>
    <row r="19" spans="1:37" ht="20.25" customHeight="1" x14ac:dyDescent="0.2">
      <c r="A19" s="38">
        <v>10</v>
      </c>
      <c r="B19" s="38" t="s">
        <v>339</v>
      </c>
      <c r="C19" s="252" t="s">
        <v>140</v>
      </c>
      <c r="D19" s="253"/>
      <c r="E19" s="241">
        <v>15</v>
      </c>
      <c r="F19" s="38">
        <v>80</v>
      </c>
      <c r="G19" s="251">
        <v>1200</v>
      </c>
      <c r="H19" s="38"/>
      <c r="I19" s="48" t="s">
        <v>299</v>
      </c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</row>
    <row r="20" spans="1:37" ht="39.75" customHeight="1" x14ac:dyDescent="0.2">
      <c r="A20" s="38">
        <v>11</v>
      </c>
      <c r="B20" s="207" t="s">
        <v>339</v>
      </c>
      <c r="C20" s="255" t="s">
        <v>264</v>
      </c>
      <c r="D20" s="252" t="s">
        <v>146</v>
      </c>
      <c r="E20" s="241">
        <v>15</v>
      </c>
      <c r="F20" s="256">
        <f>G20/15</f>
        <v>113.33333333333333</v>
      </c>
      <c r="G20" s="251">
        <v>1700</v>
      </c>
      <c r="H20" s="3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</row>
    <row r="21" spans="1:37" ht="41.25" customHeight="1" x14ac:dyDescent="0.2">
      <c r="A21" s="257">
        <v>12</v>
      </c>
      <c r="B21" s="257" t="s">
        <v>339</v>
      </c>
      <c r="C21" s="252" t="s">
        <v>298</v>
      </c>
      <c r="D21" s="255" t="s">
        <v>147</v>
      </c>
      <c r="E21" s="258">
        <v>15</v>
      </c>
      <c r="F21" s="256">
        <v>80</v>
      </c>
      <c r="G21" s="251">
        <f>E21*F21</f>
        <v>1200</v>
      </c>
      <c r="H21" s="3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</row>
    <row r="22" spans="1:37" ht="13.5" thickBot="1" x14ac:dyDescent="0.25">
      <c r="A22" s="429" t="s">
        <v>17</v>
      </c>
      <c r="B22" s="430"/>
      <c r="C22" s="430"/>
      <c r="D22" s="430"/>
      <c r="E22" s="430"/>
      <c r="F22" s="431"/>
      <c r="G22" s="186">
        <f>SUM(G10:G21)</f>
        <v>16064</v>
      </c>
      <c r="H22" s="39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165"/>
    </row>
    <row r="23" spans="1:37" ht="13.5" thickTop="1" x14ac:dyDescent="0.2">
      <c r="A23" s="39"/>
      <c r="B23" s="39"/>
      <c r="C23" s="44"/>
      <c r="D23" s="44"/>
      <c r="E23" s="39"/>
      <c r="F23" s="39"/>
      <c r="G23" s="185"/>
      <c r="H23" s="39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</row>
    <row r="24" spans="1:37" x14ac:dyDescent="0.2">
      <c r="A24" s="39"/>
      <c r="B24" s="39"/>
      <c r="C24" s="44"/>
      <c r="D24" s="44"/>
      <c r="E24" s="39"/>
      <c r="F24" s="39"/>
      <c r="G24" s="185"/>
      <c r="H24" s="39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</row>
    <row r="25" spans="1:37" ht="13.5" thickBot="1" x14ac:dyDescent="0.25">
      <c r="A25" s="39"/>
      <c r="B25" s="39"/>
      <c r="C25" s="44"/>
      <c r="D25" s="44"/>
      <c r="E25" s="39"/>
      <c r="F25" s="39"/>
      <c r="G25" s="187"/>
      <c r="H25" s="47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</row>
    <row r="26" spans="1:37" ht="15" customHeight="1" x14ac:dyDescent="0.2">
      <c r="A26" s="418" t="s">
        <v>482</v>
      </c>
      <c r="B26" s="418"/>
      <c r="C26" s="418"/>
      <c r="D26" s="44"/>
      <c r="E26" s="41"/>
      <c r="F26" s="41"/>
      <c r="G26" s="419" t="s">
        <v>267</v>
      </c>
      <c r="H26" s="419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</row>
    <row r="27" spans="1:37" ht="12.95" customHeight="1" x14ac:dyDescent="0.2">
      <c r="A27" s="420" t="s">
        <v>126</v>
      </c>
      <c r="B27" s="420"/>
      <c r="C27" s="420"/>
      <c r="D27" s="44"/>
      <c r="E27" s="39"/>
      <c r="F27" s="39"/>
      <c r="G27" s="420" t="s">
        <v>98</v>
      </c>
      <c r="H27" s="420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</row>
    <row r="28" spans="1:37" x14ac:dyDescent="0.2">
      <c r="A28" s="48"/>
      <c r="B28" s="48"/>
      <c r="C28" s="44"/>
      <c r="D28" s="56"/>
      <c r="E28" s="48"/>
      <c r="F28" s="48"/>
      <c r="G28" s="18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</row>
    <row r="29" spans="1:37" x14ac:dyDescent="0.2">
      <c r="A29" s="48"/>
      <c r="B29" s="48"/>
      <c r="C29" s="44"/>
      <c r="D29" s="56"/>
      <c r="E29" s="48"/>
      <c r="F29" s="48"/>
      <c r="G29" s="18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</row>
    <row r="30" spans="1:37" x14ac:dyDescent="0.2">
      <c r="A30" s="48"/>
      <c r="B30" s="48"/>
      <c r="C30" s="44"/>
      <c r="D30" s="56"/>
      <c r="E30" s="48"/>
      <c r="F30" s="48"/>
      <c r="G30" s="18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</row>
    <row r="31" spans="1:37" ht="15" customHeight="1" x14ac:dyDescent="0.2">
      <c r="A31" s="48"/>
      <c r="B31" s="48"/>
      <c r="C31" s="44"/>
      <c r="D31" s="56"/>
      <c r="E31" s="48"/>
      <c r="F31" s="48"/>
      <c r="G31" s="18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</row>
    <row r="32" spans="1:37" ht="15" customHeight="1" x14ac:dyDescent="0.2">
      <c r="A32" s="48"/>
      <c r="B32" s="48"/>
      <c r="C32" s="44"/>
      <c r="D32" s="56"/>
      <c r="E32" s="48"/>
      <c r="F32" s="48"/>
      <c r="G32" s="18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</row>
    <row r="33" spans="1:36" ht="20.25" customHeight="1" x14ac:dyDescent="0.2">
      <c r="A33" s="48"/>
      <c r="B33" s="48"/>
      <c r="C33" s="44"/>
      <c r="D33" s="56"/>
      <c r="E33" s="48"/>
      <c r="F33" s="48"/>
      <c r="G33" s="18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</row>
    <row r="34" spans="1:36" x14ac:dyDescent="0.2">
      <c r="A34" s="48"/>
      <c r="B34" s="48"/>
      <c r="C34" s="44"/>
      <c r="D34" s="56"/>
      <c r="E34" s="48"/>
      <c r="F34" s="48"/>
      <c r="G34" s="18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</row>
    <row r="35" spans="1:36" hidden="1" x14ac:dyDescent="0.2">
      <c r="A35" s="48"/>
      <c r="B35" s="48"/>
      <c r="C35" s="44"/>
      <c r="D35" s="56"/>
      <c r="E35" s="48"/>
      <c r="F35" s="48"/>
      <c r="G35" s="18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</row>
    <row r="36" spans="1:36" hidden="1" x14ac:dyDescent="0.2">
      <c r="A36" s="48"/>
      <c r="B36" s="48"/>
      <c r="C36" s="44"/>
      <c r="D36" s="56"/>
      <c r="E36" s="48"/>
      <c r="F36" s="48"/>
      <c r="G36" s="18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</row>
    <row r="37" spans="1:36" hidden="1" x14ac:dyDescent="0.2">
      <c r="A37" s="48"/>
      <c r="B37" s="48"/>
      <c r="C37" s="44"/>
      <c r="D37" s="56"/>
      <c r="E37" s="48" t="s">
        <v>90</v>
      </c>
      <c r="F37" s="48"/>
      <c r="G37" s="18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</row>
    <row r="38" spans="1:36" hidden="1" x14ac:dyDescent="0.2">
      <c r="A38" s="48"/>
      <c r="B38" s="48"/>
      <c r="C38" s="44"/>
      <c r="D38" s="56"/>
      <c r="E38" s="48" t="s">
        <v>91</v>
      </c>
      <c r="F38" s="48"/>
      <c r="G38" s="18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</row>
    <row r="39" spans="1:36" hidden="1" x14ac:dyDescent="0.2">
      <c r="A39" s="48"/>
      <c r="B39" s="48"/>
      <c r="C39" s="44"/>
      <c r="D39" s="56"/>
      <c r="E39" s="48"/>
      <c r="F39" s="48"/>
      <c r="G39" s="18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</row>
    <row r="40" spans="1:36" hidden="1" x14ac:dyDescent="0.2">
      <c r="A40" s="48"/>
      <c r="B40" s="48"/>
      <c r="C40" s="44"/>
      <c r="D40" s="56"/>
      <c r="E40" s="48"/>
      <c r="F40" s="48"/>
      <c r="G40" s="18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</row>
    <row r="41" spans="1:36" hidden="1" x14ac:dyDescent="0.2">
      <c r="A41" s="48"/>
      <c r="B41" s="48"/>
      <c r="C41" s="44"/>
      <c r="D41" s="56"/>
      <c r="E41" s="48"/>
      <c r="F41" s="48"/>
      <c r="G41" s="18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</row>
    <row r="42" spans="1:36" x14ac:dyDescent="0.2">
      <c r="A42" s="48"/>
      <c r="B42" s="48"/>
      <c r="C42" s="56"/>
      <c r="D42" s="56"/>
      <c r="E42" s="48"/>
      <c r="F42" s="42"/>
      <c r="G42" s="18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</row>
    <row r="43" spans="1:36" x14ac:dyDescent="0.2">
      <c r="A43" s="48"/>
      <c r="B43" s="48"/>
      <c r="C43" s="56"/>
      <c r="D43" s="56"/>
      <c r="E43" s="48"/>
      <c r="F43" s="48"/>
      <c r="G43" s="18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</row>
    <row r="44" spans="1:36" x14ac:dyDescent="0.2">
      <c r="A44" s="421" t="s">
        <v>122</v>
      </c>
      <c r="B44" s="421"/>
      <c r="C44" s="421"/>
      <c r="D44" s="421"/>
      <c r="E44" s="421"/>
      <c r="F44" s="421"/>
      <c r="G44" s="421"/>
      <c r="H44" s="421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</row>
    <row r="45" spans="1:36" x14ac:dyDescent="0.2">
      <c r="A45" s="432" t="s">
        <v>485</v>
      </c>
      <c r="B45" s="432"/>
      <c r="C45" s="432"/>
      <c r="D45" s="432"/>
      <c r="E45" s="432"/>
      <c r="F45" s="432"/>
      <c r="G45" s="432"/>
      <c r="H45" s="432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</row>
    <row r="46" spans="1:36" x14ac:dyDescent="0.2">
      <c r="A46" s="57" t="s">
        <v>479</v>
      </c>
      <c r="B46" s="57"/>
      <c r="C46" s="58"/>
      <c r="D46" s="58"/>
      <c r="E46" s="164" t="s">
        <v>131</v>
      </c>
      <c r="F46" s="164" t="s">
        <v>1</v>
      </c>
      <c r="G46" s="189" t="s">
        <v>290</v>
      </c>
      <c r="H46" s="433" t="s">
        <v>297</v>
      </c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</row>
    <row r="47" spans="1:36" x14ac:dyDescent="0.2">
      <c r="A47" s="52" t="s">
        <v>132</v>
      </c>
      <c r="B47" s="52" t="s">
        <v>339</v>
      </c>
      <c r="C47" s="53" t="s">
        <v>14</v>
      </c>
      <c r="D47" s="53" t="s">
        <v>27</v>
      </c>
      <c r="E47" s="163" t="s">
        <v>15</v>
      </c>
      <c r="F47" s="52" t="s">
        <v>16</v>
      </c>
      <c r="G47" s="190" t="s">
        <v>296</v>
      </c>
      <c r="H47" s="434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</row>
    <row r="48" spans="1:36" x14ac:dyDescent="0.2">
      <c r="A48" s="54"/>
      <c r="B48" s="54"/>
      <c r="C48" s="55"/>
      <c r="D48" s="55"/>
      <c r="E48" s="54"/>
      <c r="F48" s="54"/>
      <c r="G48" s="191" t="s">
        <v>295</v>
      </c>
      <c r="H48" s="435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</row>
    <row r="49" spans="1:36" ht="38.25" x14ac:dyDescent="0.2">
      <c r="A49" s="259">
        <v>1</v>
      </c>
      <c r="B49" s="259" t="s">
        <v>339</v>
      </c>
      <c r="C49" s="250" t="s">
        <v>254</v>
      </c>
      <c r="D49" s="260" t="s">
        <v>123</v>
      </c>
      <c r="E49" s="261">
        <v>15</v>
      </c>
      <c r="F49" s="262">
        <f>G49/E49</f>
        <v>100</v>
      </c>
      <c r="G49" s="263">
        <v>1500</v>
      </c>
      <c r="H49" s="162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</row>
    <row r="50" spans="1:36" ht="25.5" x14ac:dyDescent="0.2">
      <c r="A50" s="259">
        <v>2</v>
      </c>
      <c r="B50" s="259" t="s">
        <v>339</v>
      </c>
      <c r="C50" s="250" t="s">
        <v>337</v>
      </c>
      <c r="D50" s="260" t="s">
        <v>338</v>
      </c>
      <c r="E50" s="261">
        <v>15</v>
      </c>
      <c r="F50" s="262">
        <f>G50/E50</f>
        <v>129.80000000000001</v>
      </c>
      <c r="G50" s="263">
        <v>1947</v>
      </c>
      <c r="H50" s="162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</row>
    <row r="51" spans="1:36" s="5" customFormat="1" ht="21.75" customHeight="1" x14ac:dyDescent="0.2">
      <c r="A51" s="259">
        <v>3</v>
      </c>
      <c r="B51" s="259" t="s">
        <v>339</v>
      </c>
      <c r="C51" s="250" t="s">
        <v>255</v>
      </c>
      <c r="D51" s="261" t="s">
        <v>104</v>
      </c>
      <c r="E51" s="261">
        <v>15</v>
      </c>
      <c r="F51" s="262">
        <v>100</v>
      </c>
      <c r="G51" s="263">
        <v>1500</v>
      </c>
      <c r="H51" s="160"/>
      <c r="I51" s="156"/>
      <c r="J51" s="156"/>
      <c r="K51" s="156"/>
      <c r="L51" s="156"/>
      <c r="M51" s="156"/>
      <c r="N51" s="154"/>
      <c r="O51" s="159"/>
      <c r="P51" s="154"/>
      <c r="Q51" s="154"/>
      <c r="R51" s="154"/>
      <c r="S51" s="154"/>
      <c r="T51" s="158"/>
      <c r="U51" s="154"/>
      <c r="V51" s="154"/>
      <c r="W51" s="154"/>
      <c r="X51" s="154"/>
      <c r="Y51" s="154"/>
      <c r="Z51" s="157"/>
      <c r="AA51" s="154"/>
      <c r="AB51" s="154"/>
      <c r="AC51" s="154"/>
      <c r="AD51" s="156"/>
      <c r="AE51" s="156"/>
      <c r="AF51" s="155"/>
      <c r="AG51" s="154"/>
      <c r="AH51" s="154">
        <v>2000</v>
      </c>
      <c r="AI51" s="161"/>
      <c r="AJ51" s="48"/>
    </row>
    <row r="52" spans="1:36" s="5" customFormat="1" ht="26.25" customHeight="1" x14ac:dyDescent="0.2">
      <c r="A52" s="259">
        <v>4</v>
      </c>
      <c r="B52" s="259" t="s">
        <v>339</v>
      </c>
      <c r="C52" s="250" t="s">
        <v>256</v>
      </c>
      <c r="D52" s="260" t="s">
        <v>128</v>
      </c>
      <c r="E52" s="261">
        <v>15</v>
      </c>
      <c r="F52" s="262">
        <v>105.33</v>
      </c>
      <c r="G52" s="263">
        <v>1580</v>
      </c>
      <c r="H52" s="160"/>
      <c r="I52" s="156"/>
      <c r="J52" s="156"/>
      <c r="K52" s="156"/>
      <c r="L52" s="156"/>
      <c r="M52" s="156"/>
      <c r="N52" s="154"/>
      <c r="O52" s="159"/>
      <c r="P52" s="154"/>
      <c r="Q52" s="154"/>
      <c r="R52" s="154"/>
      <c r="S52" s="154"/>
      <c r="T52" s="158"/>
      <c r="U52" s="154"/>
      <c r="V52" s="154"/>
      <c r="W52" s="154"/>
      <c r="X52" s="154"/>
      <c r="Y52" s="154"/>
      <c r="Z52" s="157"/>
      <c r="AA52" s="154"/>
      <c r="AB52" s="154"/>
      <c r="AC52" s="154"/>
      <c r="AD52" s="156"/>
      <c r="AE52" s="156"/>
      <c r="AF52" s="155"/>
      <c r="AG52" s="154"/>
      <c r="AH52" s="154">
        <v>1800</v>
      </c>
      <c r="AI52" s="154"/>
      <c r="AJ52" s="48"/>
    </row>
    <row r="53" spans="1:36" s="5" customFormat="1" ht="38.25" x14ac:dyDescent="0.2">
      <c r="A53" s="259">
        <v>5</v>
      </c>
      <c r="B53" s="259" t="s">
        <v>339</v>
      </c>
      <c r="C53" s="250" t="s">
        <v>151</v>
      </c>
      <c r="D53" s="260" t="s">
        <v>149</v>
      </c>
      <c r="E53" s="261">
        <v>15</v>
      </c>
      <c r="F53" s="262">
        <f>G53/E53</f>
        <v>80</v>
      </c>
      <c r="G53" s="263">
        <v>1200</v>
      </c>
      <c r="H53" s="160"/>
      <c r="I53" s="156"/>
      <c r="J53" s="156"/>
      <c r="K53" s="156"/>
      <c r="L53" s="156"/>
      <c r="M53" s="156"/>
      <c r="N53" s="154"/>
      <c r="O53" s="159"/>
      <c r="P53" s="154"/>
      <c r="Q53" s="154"/>
      <c r="R53" s="154"/>
      <c r="S53" s="154"/>
      <c r="T53" s="158"/>
      <c r="U53" s="154"/>
      <c r="V53" s="154"/>
      <c r="W53" s="154"/>
      <c r="X53" s="154"/>
      <c r="Y53" s="154"/>
      <c r="Z53" s="157"/>
      <c r="AA53" s="154"/>
      <c r="AB53" s="154"/>
      <c r="AC53" s="154"/>
      <c r="AD53" s="156"/>
      <c r="AE53" s="156"/>
      <c r="AF53" s="155"/>
      <c r="AG53" s="154"/>
      <c r="AH53" s="154"/>
      <c r="AI53" s="154"/>
      <c r="AJ53" s="48"/>
    </row>
    <row r="54" spans="1:36" ht="26.25" customHeight="1" thickBot="1" x14ac:dyDescent="0.25">
      <c r="A54" s="436" t="s">
        <v>17</v>
      </c>
      <c r="B54" s="374"/>
      <c r="C54" s="374"/>
      <c r="D54" s="374"/>
      <c r="E54" s="374"/>
      <c r="F54" s="62"/>
      <c r="G54" s="192">
        <f>SUM(G49:G53)</f>
        <v>7727</v>
      </c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</row>
    <row r="55" spans="1:36" ht="13.5" thickTop="1" x14ac:dyDescent="0.2">
      <c r="A55" s="48"/>
      <c r="B55" s="48"/>
      <c r="C55" s="56"/>
      <c r="D55" s="56"/>
      <c r="E55" s="48"/>
      <c r="F55" s="48"/>
      <c r="G55" s="18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</row>
    <row r="56" spans="1:36" x14ac:dyDescent="0.2">
      <c r="A56" s="48"/>
      <c r="B56" s="48"/>
      <c r="C56" s="56"/>
      <c r="D56" s="56"/>
      <c r="E56" s="48"/>
      <c r="F56" s="48"/>
      <c r="G56" s="18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</row>
    <row r="57" spans="1:36" x14ac:dyDescent="0.2">
      <c r="A57" s="48"/>
      <c r="B57" s="48"/>
      <c r="C57" s="56"/>
      <c r="D57" s="56"/>
      <c r="E57" s="48"/>
      <c r="F57" s="48"/>
      <c r="G57" s="18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</row>
    <row r="58" spans="1:36" ht="13.5" thickBot="1" x14ac:dyDescent="0.25">
      <c r="A58" s="59"/>
      <c r="B58" s="59"/>
      <c r="C58" s="60"/>
      <c r="D58" s="60"/>
      <c r="E58" s="48"/>
      <c r="F58" s="48"/>
      <c r="G58" s="188"/>
      <c r="H58" s="59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59"/>
    </row>
    <row r="59" spans="1:36" ht="15" customHeight="1" x14ac:dyDescent="0.2">
      <c r="A59" s="420" t="s">
        <v>482</v>
      </c>
      <c r="B59" s="420"/>
      <c r="C59" s="420"/>
      <c r="D59" s="420"/>
      <c r="E59" s="48"/>
      <c r="F59" s="48"/>
      <c r="G59" s="188"/>
      <c r="H59" s="437" t="s">
        <v>294</v>
      </c>
      <c r="I59" s="437"/>
      <c r="J59" s="437"/>
      <c r="K59" s="437"/>
      <c r="L59" s="437"/>
      <c r="M59" s="437"/>
      <c r="N59" s="437"/>
      <c r="O59" s="437"/>
      <c r="P59" s="437"/>
      <c r="Q59" s="437"/>
      <c r="R59" s="437"/>
      <c r="S59" s="437"/>
      <c r="T59" s="437"/>
      <c r="U59" s="437"/>
      <c r="V59" s="437"/>
      <c r="W59" s="437"/>
      <c r="X59" s="437"/>
      <c r="Y59" s="437"/>
      <c r="Z59" s="437"/>
      <c r="AA59" s="437"/>
      <c r="AB59" s="437"/>
      <c r="AC59" s="437"/>
      <c r="AD59" s="437"/>
      <c r="AE59" s="437"/>
      <c r="AF59" s="437"/>
      <c r="AG59" s="437"/>
      <c r="AH59" s="437"/>
      <c r="AI59" s="437"/>
      <c r="AJ59" s="437"/>
    </row>
    <row r="60" spans="1:36" ht="20.25" customHeight="1" x14ac:dyDescent="0.2">
      <c r="A60" s="427" t="s">
        <v>126</v>
      </c>
      <c r="B60" s="427"/>
      <c r="C60" s="427"/>
      <c r="D60" s="427"/>
      <c r="E60" s="48"/>
      <c r="F60" s="48"/>
      <c r="G60" s="188"/>
      <c r="H60" s="428" t="s">
        <v>98</v>
      </c>
      <c r="I60" s="428"/>
      <c r="J60" s="428"/>
      <c r="K60" s="428"/>
      <c r="L60" s="428"/>
      <c r="M60" s="428"/>
      <c r="N60" s="428"/>
      <c r="O60" s="428"/>
      <c r="P60" s="428"/>
      <c r="Q60" s="428"/>
      <c r="R60" s="428"/>
      <c r="S60" s="428"/>
      <c r="T60" s="428"/>
      <c r="U60" s="428"/>
      <c r="V60" s="428"/>
      <c r="W60" s="428"/>
      <c r="X60" s="428"/>
      <c r="Y60" s="428"/>
      <c r="Z60" s="428"/>
      <c r="AA60" s="428"/>
      <c r="AB60" s="428"/>
      <c r="AC60" s="428"/>
      <c r="AD60" s="428"/>
      <c r="AE60" s="428"/>
      <c r="AF60" s="428"/>
      <c r="AG60" s="428"/>
      <c r="AH60" s="428"/>
      <c r="AI60" s="428"/>
      <c r="AJ60" s="428"/>
    </row>
    <row r="61" spans="1:36" x14ac:dyDescent="0.2">
      <c r="C61" s="35"/>
      <c r="E61" s="5"/>
      <c r="F61" s="5"/>
      <c r="H61" s="5"/>
      <c r="I61" s="5"/>
    </row>
    <row r="62" spans="1:36" x14ac:dyDescent="0.2">
      <c r="C62" s="35"/>
      <c r="E62" s="5"/>
      <c r="F62" s="5"/>
      <c r="H62" s="5"/>
      <c r="I62" s="5"/>
    </row>
    <row r="63" spans="1:36" ht="15.75" x14ac:dyDescent="0.25">
      <c r="C63" s="35"/>
      <c r="D63" s="36"/>
      <c r="E63" s="5"/>
      <c r="F63" s="5"/>
      <c r="H63" s="5"/>
      <c r="I63" s="153"/>
    </row>
    <row r="64" spans="1:36" ht="15.75" x14ac:dyDescent="0.25">
      <c r="C64" s="35"/>
      <c r="D64" s="36"/>
      <c r="E64" s="5"/>
      <c r="F64" s="5"/>
      <c r="H64" s="5"/>
      <c r="I64" s="153"/>
    </row>
    <row r="65" spans="3:9" ht="15.75" x14ac:dyDescent="0.25">
      <c r="C65" s="35"/>
      <c r="D65" s="36"/>
      <c r="E65" s="5"/>
      <c r="F65" s="5"/>
      <c r="H65" s="5"/>
      <c r="I65" s="153"/>
    </row>
    <row r="66" spans="3:9" ht="15.75" x14ac:dyDescent="0.25">
      <c r="C66" s="35"/>
      <c r="D66" s="36"/>
      <c r="E66" s="5" t="s">
        <v>90</v>
      </c>
      <c r="F66" s="5" t="s">
        <v>90</v>
      </c>
      <c r="G66" s="193">
        <f>SUM(G49:G53)</f>
        <v>7727</v>
      </c>
      <c r="H66" s="5"/>
      <c r="I66" s="153"/>
    </row>
    <row r="69" spans="3:9" x14ac:dyDescent="0.2">
      <c r="E69" t="s">
        <v>290</v>
      </c>
      <c r="G69" s="193">
        <f>G66+G67:G67</f>
        <v>7727</v>
      </c>
    </row>
  </sheetData>
  <mergeCells count="20">
    <mergeCell ref="C3:H3"/>
    <mergeCell ref="A6:H6"/>
    <mergeCell ref="A7:A9"/>
    <mergeCell ref="C7:C9"/>
    <mergeCell ref="D7:D9"/>
    <mergeCell ref="G7:G9"/>
    <mergeCell ref="H7:H9"/>
    <mergeCell ref="A60:D60"/>
    <mergeCell ref="H60:AJ60"/>
    <mergeCell ref="A22:F22"/>
    <mergeCell ref="A26:C26"/>
    <mergeCell ref="G26:H26"/>
    <mergeCell ref="A27:C27"/>
    <mergeCell ref="G27:H27"/>
    <mergeCell ref="A44:H44"/>
    <mergeCell ref="A45:H45"/>
    <mergeCell ref="H46:H48"/>
    <mergeCell ref="A54:E54"/>
    <mergeCell ref="A59:D59"/>
    <mergeCell ref="H59:AJ59"/>
  </mergeCells>
  <pageMargins left="0.25" right="0.25" top="0.75" bottom="0.75" header="0.3" footer="0.3"/>
  <pageSetup scale="98" fitToHeight="0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53"/>
  <sheetViews>
    <sheetView showGridLines="0" topLeftCell="A36" zoomScale="84" zoomScaleNormal="84" workbookViewId="0">
      <selection activeCell="F36" sqref="F1:F1048576"/>
    </sheetView>
  </sheetViews>
  <sheetFormatPr baseColWidth="10" defaultColWidth="11.42578125" defaultRowHeight="14.25" x14ac:dyDescent="0.2"/>
  <cols>
    <col min="1" max="1" width="2.7109375" style="5" customWidth="1"/>
    <col min="2" max="3" width="4.5703125" style="5" customWidth="1"/>
    <col min="4" max="4" width="38.85546875" style="75" bestFit="1" customWidth="1"/>
    <col min="5" max="5" width="14.42578125" style="76" bestFit="1" customWidth="1"/>
    <col min="6" max="6" width="5" style="25" customWidth="1"/>
    <col min="7" max="7" width="10.28515625" style="25" customWidth="1"/>
    <col min="8" max="8" width="12.7109375" style="25" customWidth="1"/>
    <col min="9" max="9" width="9.7109375" style="146" customWidth="1"/>
    <col min="10" max="10" width="11.5703125" style="348" customWidth="1"/>
    <col min="11" max="11" width="11" style="25" customWidth="1"/>
    <col min="12" max="12" width="12.85546875" style="25" customWidth="1"/>
    <col min="13" max="13" width="30" style="25" customWidth="1"/>
    <col min="14" max="16384" width="11.42578125" style="5"/>
  </cols>
  <sheetData>
    <row r="1" spans="1:13" x14ac:dyDescent="0.2">
      <c r="B1" s="266"/>
      <c r="C1" s="312"/>
      <c r="D1" s="127"/>
      <c r="E1" s="128"/>
      <c r="F1" s="129"/>
      <c r="G1" s="129"/>
      <c r="H1" s="129"/>
      <c r="I1" s="313"/>
      <c r="J1" s="354"/>
      <c r="K1" s="129"/>
      <c r="L1" s="129"/>
      <c r="M1" s="130"/>
    </row>
    <row r="2" spans="1:13" ht="36" customHeight="1" x14ac:dyDescent="0.2">
      <c r="B2" s="314"/>
      <c r="C2" s="315"/>
      <c r="E2" s="378" t="s">
        <v>286</v>
      </c>
      <c r="F2" s="378"/>
      <c r="G2" s="378"/>
      <c r="H2" s="378"/>
      <c r="I2" s="378"/>
      <c r="J2" s="378"/>
      <c r="K2" s="132"/>
      <c r="L2" s="132"/>
      <c r="M2" s="133"/>
    </row>
    <row r="3" spans="1:13" x14ac:dyDescent="0.2">
      <c r="B3" s="314"/>
      <c r="C3" s="315"/>
      <c r="E3" s="134"/>
      <c r="F3" s="132"/>
      <c r="G3" s="132"/>
      <c r="H3" s="132"/>
      <c r="I3" s="316"/>
      <c r="J3" s="327"/>
      <c r="K3" s="132"/>
      <c r="L3" s="132"/>
      <c r="M3" s="133"/>
    </row>
    <row r="4" spans="1:13" x14ac:dyDescent="0.2">
      <c r="B4" s="314"/>
      <c r="C4" s="315"/>
      <c r="E4" s="134"/>
      <c r="F4" s="132"/>
      <c r="G4" s="132"/>
      <c r="H4" s="132"/>
      <c r="I4" s="316"/>
      <c r="J4" s="327"/>
      <c r="K4" s="132"/>
      <c r="L4" s="132"/>
      <c r="M4" s="133"/>
    </row>
    <row r="5" spans="1:13" ht="28.5" customHeight="1" x14ac:dyDescent="0.2">
      <c r="B5" s="135"/>
      <c r="C5" s="39"/>
      <c r="E5" s="378" t="s">
        <v>379</v>
      </c>
      <c r="F5" s="378"/>
      <c r="G5" s="378"/>
      <c r="H5" s="378"/>
      <c r="I5" s="378"/>
      <c r="J5" s="378"/>
      <c r="K5" s="380"/>
      <c r="L5" s="380"/>
      <c r="M5" s="381"/>
    </row>
    <row r="6" spans="1:13" ht="31.5" customHeight="1" thickBot="1" x14ac:dyDescent="0.25">
      <c r="B6" s="136"/>
      <c r="C6" s="39"/>
      <c r="D6" s="445" t="s">
        <v>486</v>
      </c>
      <c r="E6" s="445"/>
      <c r="F6" s="445"/>
      <c r="G6" s="445"/>
      <c r="H6" s="445"/>
      <c r="I6" s="445"/>
      <c r="J6" s="445"/>
      <c r="K6" s="137"/>
      <c r="L6" s="137"/>
      <c r="M6" s="138"/>
    </row>
    <row r="7" spans="1:13" s="29" customFormat="1" ht="37.5" customHeight="1" x14ac:dyDescent="0.2">
      <c r="A7" s="5"/>
      <c r="B7" s="101" t="s">
        <v>279</v>
      </c>
      <c r="C7" s="204" t="s">
        <v>339</v>
      </c>
      <c r="D7" s="102" t="s">
        <v>14</v>
      </c>
      <c r="E7" s="102" t="s">
        <v>274</v>
      </c>
      <c r="F7" s="102" t="s">
        <v>277</v>
      </c>
      <c r="G7" s="102" t="s">
        <v>278</v>
      </c>
      <c r="H7" s="103" t="s">
        <v>275</v>
      </c>
      <c r="I7" s="317" t="s">
        <v>291</v>
      </c>
      <c r="J7" s="102" t="s">
        <v>292</v>
      </c>
      <c r="K7" s="104" t="s">
        <v>276</v>
      </c>
      <c r="L7" s="104" t="s">
        <v>285</v>
      </c>
      <c r="M7" s="119" t="s">
        <v>284</v>
      </c>
    </row>
    <row r="8" spans="1:13" s="29" customFormat="1" ht="30" customHeight="1" x14ac:dyDescent="0.2">
      <c r="A8" s="5"/>
      <c r="B8" s="318">
        <v>1</v>
      </c>
      <c r="C8" s="319"/>
      <c r="D8" s="320" t="s">
        <v>396</v>
      </c>
      <c r="E8" s="93" t="s">
        <v>35</v>
      </c>
      <c r="F8" s="72">
        <v>15</v>
      </c>
      <c r="G8" s="321">
        <v>638.06640000000004</v>
      </c>
      <c r="H8" s="322">
        <f>ROUND(F8*G8,2)</f>
        <v>9571</v>
      </c>
      <c r="I8" s="352">
        <v>0</v>
      </c>
      <c r="J8" s="353">
        <f t="shared" ref="J8:J35" si="0">IF(G8&lt;=248.93,0,(IFERROR(IF(ROUND((((H8/F8*30.4)-VLOOKUP((H8/F8*30.4),TARIFA,1))*VLOOKUP((H8/F8*30.4),TARIFA,3)+VLOOKUP((H8/F8*30.4),TARIFA,2)-VLOOKUP((H8/F8*30.4),SUBSIDIO,2))/30.4*F8,2)&gt;0,ROUND((((H8/F8*30.4)-VLOOKUP((H8/F8*30.4),TARIFA,1))*VLOOKUP((H8/F8*30.4),TARIFA,3)+VLOOKUP((H8/F8*30.4),TARIFA,2)-VLOOKUP((H8/F8*30.4),SUBSIDIO,2))/30.4*F8,2),0),0)))</f>
        <v>1221.3399999999999</v>
      </c>
      <c r="K8" s="323">
        <f>J8</f>
        <v>1221.3399999999999</v>
      </c>
      <c r="L8" s="323">
        <f>H8+I8-K8</f>
        <v>8349.66</v>
      </c>
      <c r="M8" s="324"/>
    </row>
    <row r="9" spans="1:13" s="29" customFormat="1" ht="30" customHeight="1" x14ac:dyDescent="0.2">
      <c r="A9" s="5"/>
      <c r="B9" s="318">
        <v>2</v>
      </c>
      <c r="C9" s="319"/>
      <c r="D9" s="320" t="s">
        <v>380</v>
      </c>
      <c r="E9" s="93" t="s">
        <v>381</v>
      </c>
      <c r="F9" s="72">
        <v>15</v>
      </c>
      <c r="G9" s="321">
        <v>471.46640000000002</v>
      </c>
      <c r="H9" s="322">
        <f t="shared" ref="H9:H35" si="1">ROUND(F9*G9,2)</f>
        <v>7072</v>
      </c>
      <c r="I9" s="352">
        <v>0</v>
      </c>
      <c r="J9" s="353">
        <f t="shared" si="0"/>
        <v>707.16</v>
      </c>
      <c r="K9" s="323">
        <f t="shared" ref="K9:K35" si="2">J9</f>
        <v>707.16</v>
      </c>
      <c r="L9" s="323">
        <f t="shared" ref="L9:L35" si="3">H9+I9-K9</f>
        <v>6364.84</v>
      </c>
      <c r="M9" s="324"/>
    </row>
    <row r="10" spans="1:13" s="29" customFormat="1" ht="30" customHeight="1" x14ac:dyDescent="0.2">
      <c r="A10" s="5"/>
      <c r="B10" s="318">
        <v>3</v>
      </c>
      <c r="C10" s="319" t="s">
        <v>339</v>
      </c>
      <c r="D10" s="320" t="s">
        <v>383</v>
      </c>
      <c r="E10" s="93" t="s">
        <v>384</v>
      </c>
      <c r="F10" s="72">
        <v>15</v>
      </c>
      <c r="G10" s="321">
        <v>393.733</v>
      </c>
      <c r="H10" s="322">
        <f t="shared" si="1"/>
        <v>5906</v>
      </c>
      <c r="I10" s="352">
        <v>0</v>
      </c>
      <c r="J10" s="353">
        <f t="shared" si="0"/>
        <v>507.37</v>
      </c>
      <c r="K10" s="323">
        <f t="shared" si="2"/>
        <v>507.37</v>
      </c>
      <c r="L10" s="323">
        <f t="shared" si="3"/>
        <v>5398.63</v>
      </c>
      <c r="M10" s="324"/>
    </row>
    <row r="11" spans="1:13" s="29" customFormat="1" ht="30" customHeight="1" x14ac:dyDescent="0.2">
      <c r="A11" s="5"/>
      <c r="B11" s="318">
        <v>4</v>
      </c>
      <c r="C11" s="319"/>
      <c r="D11" s="320" t="s">
        <v>385</v>
      </c>
      <c r="E11" s="93" t="s">
        <v>384</v>
      </c>
      <c r="F11" s="72">
        <v>15</v>
      </c>
      <c r="G11" s="321">
        <v>393.733</v>
      </c>
      <c r="H11" s="322">
        <f t="shared" si="1"/>
        <v>5906</v>
      </c>
      <c r="I11" s="352">
        <v>0</v>
      </c>
      <c r="J11" s="353">
        <f t="shared" si="0"/>
        <v>507.37</v>
      </c>
      <c r="K11" s="323">
        <f t="shared" si="2"/>
        <v>507.37</v>
      </c>
      <c r="L11" s="323">
        <f t="shared" si="3"/>
        <v>5398.63</v>
      </c>
      <c r="M11" s="324"/>
    </row>
    <row r="12" spans="1:13" s="29" customFormat="1" ht="30" customHeight="1" x14ac:dyDescent="0.2">
      <c r="A12" s="5"/>
      <c r="B12" s="318">
        <v>5</v>
      </c>
      <c r="C12" s="319"/>
      <c r="D12" s="320" t="s">
        <v>386</v>
      </c>
      <c r="E12" s="93" t="s">
        <v>382</v>
      </c>
      <c r="F12" s="72">
        <v>15</v>
      </c>
      <c r="G12" s="321">
        <v>340</v>
      </c>
      <c r="H12" s="322">
        <f t="shared" si="1"/>
        <v>5100</v>
      </c>
      <c r="I12" s="352">
        <v>0</v>
      </c>
      <c r="J12" s="353">
        <f t="shared" si="0"/>
        <v>398.42</v>
      </c>
      <c r="K12" s="323">
        <f t="shared" si="2"/>
        <v>398.42</v>
      </c>
      <c r="L12" s="323">
        <f t="shared" si="3"/>
        <v>4701.58</v>
      </c>
      <c r="M12" s="324"/>
    </row>
    <row r="13" spans="1:13" s="82" customFormat="1" ht="30" customHeight="1" x14ac:dyDescent="0.2">
      <c r="A13" s="5"/>
      <c r="B13" s="318">
        <v>6</v>
      </c>
      <c r="C13" s="319" t="s">
        <v>339</v>
      </c>
      <c r="D13" s="320" t="s">
        <v>387</v>
      </c>
      <c r="E13" s="93" t="s">
        <v>382</v>
      </c>
      <c r="F13" s="72">
        <v>15</v>
      </c>
      <c r="G13" s="321">
        <v>340</v>
      </c>
      <c r="H13" s="322">
        <f t="shared" si="1"/>
        <v>5100</v>
      </c>
      <c r="I13" s="352">
        <v>0</v>
      </c>
      <c r="J13" s="353">
        <f t="shared" si="0"/>
        <v>398.42</v>
      </c>
      <c r="K13" s="323">
        <f t="shared" si="2"/>
        <v>398.42</v>
      </c>
      <c r="L13" s="323">
        <f t="shared" si="3"/>
        <v>4701.58</v>
      </c>
      <c r="M13" s="324"/>
    </row>
    <row r="14" spans="1:13" ht="30" customHeight="1" x14ac:dyDescent="0.2">
      <c r="B14" s="318">
        <v>7</v>
      </c>
      <c r="C14" s="319" t="s">
        <v>339</v>
      </c>
      <c r="D14" s="320" t="s">
        <v>388</v>
      </c>
      <c r="E14" s="93" t="s">
        <v>382</v>
      </c>
      <c r="F14" s="72">
        <v>15</v>
      </c>
      <c r="G14" s="321">
        <v>340</v>
      </c>
      <c r="H14" s="322">
        <f t="shared" si="1"/>
        <v>5100</v>
      </c>
      <c r="I14" s="352">
        <v>0</v>
      </c>
      <c r="J14" s="353">
        <f t="shared" si="0"/>
        <v>398.42</v>
      </c>
      <c r="K14" s="323">
        <f t="shared" si="2"/>
        <v>398.42</v>
      </c>
      <c r="L14" s="323">
        <f t="shared" si="3"/>
        <v>4701.58</v>
      </c>
      <c r="M14" s="324"/>
    </row>
    <row r="15" spans="1:13" s="29" customFormat="1" ht="30" customHeight="1" x14ac:dyDescent="0.2">
      <c r="A15" s="5"/>
      <c r="B15" s="318">
        <v>8</v>
      </c>
      <c r="C15" s="319" t="s">
        <v>339</v>
      </c>
      <c r="D15" s="320" t="s">
        <v>389</v>
      </c>
      <c r="E15" s="93" t="s">
        <v>390</v>
      </c>
      <c r="F15" s="64">
        <v>15</v>
      </c>
      <c r="G15" s="325">
        <v>220.8664</v>
      </c>
      <c r="H15" s="322">
        <f t="shared" si="1"/>
        <v>3313</v>
      </c>
      <c r="I15" s="352">
        <v>0</v>
      </c>
      <c r="J15" s="352">
        <f t="shared" si="0"/>
        <v>0</v>
      </c>
      <c r="K15" s="323">
        <f t="shared" si="2"/>
        <v>0</v>
      </c>
      <c r="L15" s="323">
        <f t="shared" si="3"/>
        <v>3313</v>
      </c>
      <c r="M15" s="324"/>
    </row>
    <row r="16" spans="1:13" s="29" customFormat="1" ht="30" customHeight="1" x14ac:dyDescent="0.2">
      <c r="A16" s="5"/>
      <c r="B16" s="318">
        <v>9</v>
      </c>
      <c r="C16" s="319"/>
      <c r="D16" s="320" t="s">
        <v>391</v>
      </c>
      <c r="E16" s="93" t="s">
        <v>392</v>
      </c>
      <c r="F16" s="72">
        <v>15</v>
      </c>
      <c r="G16" s="321">
        <v>340</v>
      </c>
      <c r="H16" s="322">
        <f t="shared" si="1"/>
        <v>5100</v>
      </c>
      <c r="I16" s="352">
        <v>0</v>
      </c>
      <c r="J16" s="353">
        <f t="shared" si="0"/>
        <v>398.42</v>
      </c>
      <c r="K16" s="323">
        <f t="shared" si="2"/>
        <v>398.42</v>
      </c>
      <c r="L16" s="323">
        <f t="shared" si="3"/>
        <v>4701.58</v>
      </c>
      <c r="M16" s="324"/>
    </row>
    <row r="17" spans="1:13" s="29" customFormat="1" ht="30" customHeight="1" x14ac:dyDescent="0.2">
      <c r="A17" s="5"/>
      <c r="B17" s="318">
        <v>10</v>
      </c>
      <c r="C17" s="319" t="s">
        <v>339</v>
      </c>
      <c r="D17" s="320" t="s">
        <v>393</v>
      </c>
      <c r="E17" s="93" t="s">
        <v>382</v>
      </c>
      <c r="F17" s="72">
        <v>15</v>
      </c>
      <c r="G17" s="321">
        <v>340</v>
      </c>
      <c r="H17" s="322">
        <f t="shared" si="1"/>
        <v>5100</v>
      </c>
      <c r="I17" s="352">
        <v>0</v>
      </c>
      <c r="J17" s="353">
        <f t="shared" si="0"/>
        <v>398.42</v>
      </c>
      <c r="K17" s="323">
        <f t="shared" si="2"/>
        <v>398.42</v>
      </c>
      <c r="L17" s="323">
        <f t="shared" si="3"/>
        <v>4701.58</v>
      </c>
      <c r="M17" s="324"/>
    </row>
    <row r="18" spans="1:13" ht="30" customHeight="1" x14ac:dyDescent="0.2">
      <c r="B18" s="318">
        <v>11</v>
      </c>
      <c r="C18" s="319"/>
      <c r="D18" s="326" t="s">
        <v>394</v>
      </c>
      <c r="E18" s="93" t="s">
        <v>382</v>
      </c>
      <c r="F18" s="72">
        <v>15</v>
      </c>
      <c r="G18" s="321">
        <v>340</v>
      </c>
      <c r="H18" s="322">
        <f t="shared" si="1"/>
        <v>5100</v>
      </c>
      <c r="I18" s="352">
        <v>0</v>
      </c>
      <c r="J18" s="353">
        <f t="shared" si="0"/>
        <v>398.42</v>
      </c>
      <c r="K18" s="323">
        <f t="shared" si="2"/>
        <v>398.42</v>
      </c>
      <c r="L18" s="323">
        <f t="shared" si="3"/>
        <v>4701.58</v>
      </c>
      <c r="M18" s="324"/>
    </row>
    <row r="19" spans="1:13" ht="30" customHeight="1" x14ac:dyDescent="0.2">
      <c r="B19" s="318">
        <v>12</v>
      </c>
      <c r="C19" s="319"/>
      <c r="D19" s="326" t="s">
        <v>437</v>
      </c>
      <c r="E19" s="93" t="s">
        <v>382</v>
      </c>
      <c r="F19" s="72">
        <v>15</v>
      </c>
      <c r="G19" s="321">
        <v>340</v>
      </c>
      <c r="H19" s="322">
        <f t="shared" si="1"/>
        <v>5100</v>
      </c>
      <c r="I19" s="352">
        <v>0</v>
      </c>
      <c r="J19" s="353">
        <f t="shared" si="0"/>
        <v>398.42</v>
      </c>
      <c r="K19" s="323">
        <f t="shared" si="2"/>
        <v>398.42</v>
      </c>
      <c r="L19" s="323">
        <f t="shared" si="3"/>
        <v>4701.58</v>
      </c>
      <c r="M19" s="324"/>
    </row>
    <row r="20" spans="1:13" ht="30" customHeight="1" x14ac:dyDescent="0.2">
      <c r="B20" s="318">
        <v>13</v>
      </c>
      <c r="C20" s="319" t="s">
        <v>339</v>
      </c>
      <c r="D20" s="326" t="s">
        <v>395</v>
      </c>
      <c r="E20" s="93" t="s">
        <v>382</v>
      </c>
      <c r="F20" s="72">
        <v>15</v>
      </c>
      <c r="G20" s="321">
        <v>340</v>
      </c>
      <c r="H20" s="322">
        <f t="shared" si="1"/>
        <v>5100</v>
      </c>
      <c r="I20" s="352">
        <v>0</v>
      </c>
      <c r="J20" s="353">
        <f t="shared" si="0"/>
        <v>398.42</v>
      </c>
      <c r="K20" s="323">
        <f t="shared" si="2"/>
        <v>398.42</v>
      </c>
      <c r="L20" s="323">
        <f t="shared" si="3"/>
        <v>4701.58</v>
      </c>
      <c r="M20" s="324"/>
    </row>
    <row r="21" spans="1:13" ht="30" customHeight="1" x14ac:dyDescent="0.2">
      <c r="B21" s="318">
        <v>14</v>
      </c>
      <c r="C21" s="319"/>
      <c r="D21" s="326" t="s">
        <v>397</v>
      </c>
      <c r="E21" s="93" t="s">
        <v>382</v>
      </c>
      <c r="F21" s="72">
        <v>15</v>
      </c>
      <c r="G21" s="321">
        <v>340</v>
      </c>
      <c r="H21" s="322">
        <f t="shared" si="1"/>
        <v>5100</v>
      </c>
      <c r="I21" s="352">
        <v>0</v>
      </c>
      <c r="J21" s="353">
        <f t="shared" si="0"/>
        <v>398.42</v>
      </c>
      <c r="K21" s="323">
        <f t="shared" si="2"/>
        <v>398.42</v>
      </c>
      <c r="L21" s="323">
        <f t="shared" si="3"/>
        <v>4701.58</v>
      </c>
      <c r="M21" s="324"/>
    </row>
    <row r="22" spans="1:13" s="29" customFormat="1" ht="30" customHeight="1" x14ac:dyDescent="0.2">
      <c r="A22" s="5"/>
      <c r="B22" s="318">
        <v>15</v>
      </c>
      <c r="C22" s="319" t="s">
        <v>339</v>
      </c>
      <c r="D22" s="320" t="s">
        <v>398</v>
      </c>
      <c r="E22" s="93" t="s">
        <v>382</v>
      </c>
      <c r="F22" s="72">
        <v>15</v>
      </c>
      <c r="G22" s="321">
        <v>340</v>
      </c>
      <c r="H22" s="322">
        <f t="shared" si="1"/>
        <v>5100</v>
      </c>
      <c r="I22" s="352">
        <v>0</v>
      </c>
      <c r="J22" s="353">
        <f t="shared" si="0"/>
        <v>398.42</v>
      </c>
      <c r="K22" s="323">
        <f t="shared" si="2"/>
        <v>398.42</v>
      </c>
      <c r="L22" s="323">
        <f t="shared" si="3"/>
        <v>4701.58</v>
      </c>
      <c r="M22" s="324"/>
    </row>
    <row r="23" spans="1:13" s="29" customFormat="1" ht="30" customHeight="1" x14ac:dyDescent="0.2">
      <c r="A23" s="5"/>
      <c r="B23" s="318">
        <v>16</v>
      </c>
      <c r="C23" s="319" t="s">
        <v>339</v>
      </c>
      <c r="D23" s="320" t="s">
        <v>399</v>
      </c>
      <c r="E23" s="93" t="s">
        <v>382</v>
      </c>
      <c r="F23" s="72">
        <v>15</v>
      </c>
      <c r="G23" s="321">
        <v>340</v>
      </c>
      <c r="H23" s="322">
        <f t="shared" si="1"/>
        <v>5100</v>
      </c>
      <c r="I23" s="352">
        <v>0</v>
      </c>
      <c r="J23" s="353">
        <f t="shared" si="0"/>
        <v>398.42</v>
      </c>
      <c r="K23" s="323">
        <f t="shared" si="2"/>
        <v>398.42</v>
      </c>
      <c r="L23" s="323">
        <f t="shared" si="3"/>
        <v>4701.58</v>
      </c>
      <c r="M23" s="324"/>
    </row>
    <row r="24" spans="1:13" s="29" customFormat="1" ht="30" customHeight="1" x14ac:dyDescent="0.2">
      <c r="A24" s="5"/>
      <c r="B24" s="318">
        <v>17</v>
      </c>
      <c r="C24" s="319" t="s">
        <v>339</v>
      </c>
      <c r="D24" s="320" t="s">
        <v>400</v>
      </c>
      <c r="E24" s="93" t="s">
        <v>382</v>
      </c>
      <c r="F24" s="72">
        <v>15</v>
      </c>
      <c r="G24" s="321">
        <v>340</v>
      </c>
      <c r="H24" s="322">
        <f t="shared" si="1"/>
        <v>5100</v>
      </c>
      <c r="I24" s="352">
        <v>0</v>
      </c>
      <c r="J24" s="353">
        <f t="shared" si="0"/>
        <v>398.42</v>
      </c>
      <c r="K24" s="323">
        <f t="shared" si="2"/>
        <v>398.42</v>
      </c>
      <c r="L24" s="323">
        <f t="shared" si="3"/>
        <v>4701.58</v>
      </c>
      <c r="M24" s="324"/>
    </row>
    <row r="25" spans="1:13" s="29" customFormat="1" ht="30" customHeight="1" x14ac:dyDescent="0.2">
      <c r="A25" s="5"/>
      <c r="B25" s="318">
        <v>18</v>
      </c>
      <c r="C25" s="319"/>
      <c r="D25" s="320" t="s">
        <v>401</v>
      </c>
      <c r="E25" s="93" t="s">
        <v>382</v>
      </c>
      <c r="F25" s="72">
        <v>15</v>
      </c>
      <c r="G25" s="321">
        <v>340</v>
      </c>
      <c r="H25" s="322">
        <f t="shared" si="1"/>
        <v>5100</v>
      </c>
      <c r="I25" s="352">
        <v>0</v>
      </c>
      <c r="J25" s="353">
        <f t="shared" si="0"/>
        <v>398.42</v>
      </c>
      <c r="K25" s="323">
        <f t="shared" si="2"/>
        <v>398.42</v>
      </c>
      <c r="L25" s="323">
        <f t="shared" si="3"/>
        <v>4701.58</v>
      </c>
      <c r="M25" s="324"/>
    </row>
    <row r="26" spans="1:13" s="29" customFormat="1" ht="30" customHeight="1" x14ac:dyDescent="0.2">
      <c r="A26" s="5"/>
      <c r="B26" s="318">
        <v>19</v>
      </c>
      <c r="C26" s="319" t="s">
        <v>339</v>
      </c>
      <c r="D26" s="320" t="s">
        <v>402</v>
      </c>
      <c r="E26" s="93" t="s">
        <v>382</v>
      </c>
      <c r="F26" s="72">
        <v>15</v>
      </c>
      <c r="G26" s="321">
        <v>340</v>
      </c>
      <c r="H26" s="322">
        <f t="shared" si="1"/>
        <v>5100</v>
      </c>
      <c r="I26" s="352">
        <v>0</v>
      </c>
      <c r="J26" s="353">
        <f t="shared" si="0"/>
        <v>398.42</v>
      </c>
      <c r="K26" s="323">
        <f t="shared" si="2"/>
        <v>398.42</v>
      </c>
      <c r="L26" s="323">
        <f t="shared" si="3"/>
        <v>4701.58</v>
      </c>
      <c r="M26" s="324"/>
    </row>
    <row r="27" spans="1:13" s="29" customFormat="1" ht="30" customHeight="1" x14ac:dyDescent="0.2">
      <c r="A27" s="5"/>
      <c r="B27" s="318">
        <v>20</v>
      </c>
      <c r="C27" s="319" t="s">
        <v>339</v>
      </c>
      <c r="D27" s="320" t="s">
        <v>440</v>
      </c>
      <c r="E27" s="93" t="s">
        <v>382</v>
      </c>
      <c r="F27" s="72">
        <v>15</v>
      </c>
      <c r="G27" s="321">
        <v>340</v>
      </c>
      <c r="H27" s="322">
        <f t="shared" ref="H27" si="4">ROUND(F27*G27,2)</f>
        <v>5100</v>
      </c>
      <c r="I27" s="352">
        <v>0</v>
      </c>
      <c r="J27" s="353">
        <f t="shared" ref="J27" si="5">IF(G27&lt;=248.93,0,(IFERROR(IF(ROUND((((H27/F27*30.4)-VLOOKUP((H27/F27*30.4),TARIFA,1))*VLOOKUP((H27/F27*30.4),TARIFA,3)+VLOOKUP((H27/F27*30.4),TARIFA,2)-VLOOKUP((H27/F27*30.4),SUBSIDIO,2))/30.4*F27,2)&gt;0,ROUND((((H27/F27*30.4)-VLOOKUP((H27/F27*30.4),TARIFA,1))*VLOOKUP((H27/F27*30.4),TARIFA,3)+VLOOKUP((H27/F27*30.4),TARIFA,2)-VLOOKUP((H27/F27*30.4),SUBSIDIO,2))/30.4*F27,2),0),0)))</f>
        <v>398.42</v>
      </c>
      <c r="K27" s="323">
        <f t="shared" ref="K27" si="6">J27</f>
        <v>398.42</v>
      </c>
      <c r="L27" s="323">
        <f t="shared" ref="L27" si="7">H27+I27-K27</f>
        <v>4701.58</v>
      </c>
      <c r="M27" s="324"/>
    </row>
    <row r="28" spans="1:13" s="29" customFormat="1" ht="30" customHeight="1" x14ac:dyDescent="0.2">
      <c r="A28" s="5"/>
      <c r="B28" s="318">
        <v>21</v>
      </c>
      <c r="C28" s="319" t="s">
        <v>339</v>
      </c>
      <c r="D28" s="320" t="s">
        <v>463</v>
      </c>
      <c r="E28" s="93" t="s">
        <v>382</v>
      </c>
      <c r="F28" s="72">
        <v>15</v>
      </c>
      <c r="G28" s="321">
        <v>340</v>
      </c>
      <c r="H28" s="322">
        <f t="shared" ref="H28" si="8">ROUND(F28*G28,2)</f>
        <v>5100</v>
      </c>
      <c r="I28" s="352">
        <v>0</v>
      </c>
      <c r="J28" s="353">
        <f t="shared" ref="J28" si="9">IF(G28&lt;=248.93,0,(IFERROR(IF(ROUND((((H28/F28*30.4)-VLOOKUP((H28/F28*30.4),TARIFA,1))*VLOOKUP((H28/F28*30.4),TARIFA,3)+VLOOKUP((H28/F28*30.4),TARIFA,2)-VLOOKUP((H28/F28*30.4),SUBSIDIO,2))/30.4*F28,2)&gt;0,ROUND((((H28/F28*30.4)-VLOOKUP((H28/F28*30.4),TARIFA,1))*VLOOKUP((H28/F28*30.4),TARIFA,3)+VLOOKUP((H28/F28*30.4),TARIFA,2)-VLOOKUP((H28/F28*30.4),SUBSIDIO,2))/30.4*F28,2),0),0)))</f>
        <v>398.42</v>
      </c>
      <c r="K28" s="323">
        <f t="shared" ref="K28" si="10">J28</f>
        <v>398.42</v>
      </c>
      <c r="L28" s="323">
        <f t="shared" ref="L28" si="11">H28+I28-K28</f>
        <v>4701.58</v>
      </c>
      <c r="M28" s="324"/>
    </row>
    <row r="29" spans="1:13" s="29" customFormat="1" ht="30" customHeight="1" x14ac:dyDescent="0.2">
      <c r="A29" s="5"/>
      <c r="B29" s="318">
        <v>22</v>
      </c>
      <c r="C29" s="319" t="s">
        <v>339</v>
      </c>
      <c r="D29" s="320" t="s">
        <v>469</v>
      </c>
      <c r="E29" s="93" t="s">
        <v>382</v>
      </c>
      <c r="F29" s="72">
        <v>15</v>
      </c>
      <c r="G29" s="321">
        <v>340</v>
      </c>
      <c r="H29" s="322">
        <f t="shared" ref="H29" si="12">ROUND(F29*G29,2)</f>
        <v>5100</v>
      </c>
      <c r="I29" s="352">
        <v>0</v>
      </c>
      <c r="J29" s="353">
        <f t="shared" ref="J29" si="13">IF(G29&lt;=248.93,0,(IFERROR(IF(ROUND((((H29/F29*30.4)-VLOOKUP((H29/F29*30.4),TARIFA,1))*VLOOKUP((H29/F29*30.4),TARIFA,3)+VLOOKUP((H29/F29*30.4),TARIFA,2)-VLOOKUP((H29/F29*30.4),SUBSIDIO,2))/30.4*F29,2)&gt;0,ROUND((((H29/F29*30.4)-VLOOKUP((H29/F29*30.4),TARIFA,1))*VLOOKUP((H29/F29*30.4),TARIFA,3)+VLOOKUP((H29/F29*30.4),TARIFA,2)-VLOOKUP((H29/F29*30.4),SUBSIDIO,2))/30.4*F29,2),0),0)))</f>
        <v>398.42</v>
      </c>
      <c r="K29" s="323">
        <f t="shared" ref="K29" si="14">J29</f>
        <v>398.42</v>
      </c>
      <c r="L29" s="323">
        <f t="shared" ref="L29" si="15">H29+I29-K29</f>
        <v>4701.58</v>
      </c>
      <c r="M29" s="324"/>
    </row>
    <row r="30" spans="1:13" s="29" customFormat="1" ht="30" customHeight="1" x14ac:dyDescent="0.2">
      <c r="A30" s="5"/>
      <c r="B30" s="318">
        <v>23</v>
      </c>
      <c r="C30" s="319" t="s">
        <v>339</v>
      </c>
      <c r="D30" s="320" t="s">
        <v>471</v>
      </c>
      <c r="E30" s="93" t="s">
        <v>382</v>
      </c>
      <c r="F30" s="72">
        <v>15</v>
      </c>
      <c r="G30" s="321">
        <v>340</v>
      </c>
      <c r="H30" s="322">
        <f t="shared" ref="H30" si="16">ROUND(F30*G30,2)</f>
        <v>5100</v>
      </c>
      <c r="I30" s="352">
        <v>0</v>
      </c>
      <c r="J30" s="353">
        <f t="shared" ref="J30" si="17">IF(G30&lt;=248.93,0,(IFERROR(IF(ROUND((((H30/F30*30.4)-VLOOKUP((H30/F30*30.4),TARIFA,1))*VLOOKUP((H30/F30*30.4),TARIFA,3)+VLOOKUP((H30/F30*30.4),TARIFA,2)-VLOOKUP((H30/F30*30.4),SUBSIDIO,2))/30.4*F30,2)&gt;0,ROUND((((H30/F30*30.4)-VLOOKUP((H30/F30*30.4),TARIFA,1))*VLOOKUP((H30/F30*30.4),TARIFA,3)+VLOOKUP((H30/F30*30.4),TARIFA,2)-VLOOKUP((H30/F30*30.4),SUBSIDIO,2))/30.4*F30,2),0),0)))</f>
        <v>398.42</v>
      </c>
      <c r="K30" s="323">
        <f t="shared" ref="K30" si="18">J30</f>
        <v>398.42</v>
      </c>
      <c r="L30" s="323">
        <f t="shared" ref="L30" si="19">H30+I30-K30</f>
        <v>4701.58</v>
      </c>
      <c r="M30" s="324"/>
    </row>
    <row r="31" spans="1:13" s="29" customFormat="1" ht="30" customHeight="1" x14ac:dyDescent="0.2">
      <c r="A31" s="5"/>
      <c r="B31" s="318">
        <v>24</v>
      </c>
      <c r="C31" s="319"/>
      <c r="D31" s="320" t="s">
        <v>444</v>
      </c>
      <c r="E31" s="93" t="s">
        <v>382</v>
      </c>
      <c r="F31" s="72">
        <v>15</v>
      </c>
      <c r="G31" s="321">
        <v>340</v>
      </c>
      <c r="H31" s="322">
        <f t="shared" ref="H31" si="20">ROUND(F31*G31,2)</f>
        <v>5100</v>
      </c>
      <c r="I31" s="352">
        <v>0</v>
      </c>
      <c r="J31" s="353">
        <f t="shared" ref="J31" si="21">IF(G31&lt;=248.93,0,(IFERROR(IF(ROUND((((H31/F31*30.4)-VLOOKUP((H31/F31*30.4),TARIFA,1))*VLOOKUP((H31/F31*30.4),TARIFA,3)+VLOOKUP((H31/F31*30.4),TARIFA,2)-VLOOKUP((H31/F31*30.4),SUBSIDIO,2))/30.4*F31,2)&gt;0,ROUND((((H31/F31*30.4)-VLOOKUP((H31/F31*30.4),TARIFA,1))*VLOOKUP((H31/F31*30.4),TARIFA,3)+VLOOKUP((H31/F31*30.4),TARIFA,2)-VLOOKUP((H31/F31*30.4),SUBSIDIO,2))/30.4*F31,2),0),0)))</f>
        <v>398.42</v>
      </c>
      <c r="K31" s="323">
        <f t="shared" ref="K31" si="22">J31</f>
        <v>398.42</v>
      </c>
      <c r="L31" s="323">
        <f t="shared" ref="L31" si="23">H31+I31-K31</f>
        <v>4701.58</v>
      </c>
      <c r="M31" s="324"/>
    </row>
    <row r="32" spans="1:13" s="29" customFormat="1" ht="30" customHeight="1" x14ac:dyDescent="0.2">
      <c r="A32" s="5"/>
      <c r="B32" s="318">
        <v>25</v>
      </c>
      <c r="C32" s="319"/>
      <c r="D32" s="320" t="s">
        <v>450</v>
      </c>
      <c r="E32" s="93" t="s">
        <v>382</v>
      </c>
      <c r="F32" s="72">
        <v>15</v>
      </c>
      <c r="G32" s="321">
        <v>340</v>
      </c>
      <c r="H32" s="322">
        <f t="shared" ref="H32:H33" si="24">ROUND(F32*G32,2)</f>
        <v>5100</v>
      </c>
      <c r="I32" s="352">
        <v>0</v>
      </c>
      <c r="J32" s="353">
        <f t="shared" ref="J32:J33" si="25">IF(G32&lt;=248.93,0,(IFERROR(IF(ROUND((((H32/F32*30.4)-VLOOKUP((H32/F32*30.4),TARIFA,1))*VLOOKUP((H32/F32*30.4),TARIFA,3)+VLOOKUP((H32/F32*30.4),TARIFA,2)-VLOOKUP((H32/F32*30.4),SUBSIDIO,2))/30.4*F32,2)&gt;0,ROUND((((H32/F32*30.4)-VLOOKUP((H32/F32*30.4),TARIFA,1))*VLOOKUP((H32/F32*30.4),TARIFA,3)+VLOOKUP((H32/F32*30.4),TARIFA,2)-VLOOKUP((H32/F32*30.4),SUBSIDIO,2))/30.4*F32,2),0),0)))</f>
        <v>398.42</v>
      </c>
      <c r="K32" s="323">
        <f t="shared" ref="K32:K33" si="26">J32</f>
        <v>398.42</v>
      </c>
      <c r="L32" s="323">
        <f t="shared" ref="L32:L33" si="27">H32+I32-K32</f>
        <v>4701.58</v>
      </c>
      <c r="M32" s="324"/>
    </row>
    <row r="33" spans="1:15" s="29" customFormat="1" ht="30" customHeight="1" x14ac:dyDescent="0.2">
      <c r="A33" s="5"/>
      <c r="B33" s="318">
        <v>26</v>
      </c>
      <c r="C33" s="319" t="s">
        <v>339</v>
      </c>
      <c r="D33" s="320" t="s">
        <v>474</v>
      </c>
      <c r="E33" s="93" t="s">
        <v>382</v>
      </c>
      <c r="F33" s="72">
        <v>15</v>
      </c>
      <c r="G33" s="321">
        <v>340</v>
      </c>
      <c r="H33" s="322">
        <f t="shared" si="24"/>
        <v>5100</v>
      </c>
      <c r="I33" s="352">
        <v>0</v>
      </c>
      <c r="J33" s="353">
        <f t="shared" si="25"/>
        <v>398.42</v>
      </c>
      <c r="K33" s="323">
        <f t="shared" si="26"/>
        <v>398.42</v>
      </c>
      <c r="L33" s="323">
        <f t="shared" si="27"/>
        <v>4701.58</v>
      </c>
      <c r="M33" s="324"/>
    </row>
    <row r="34" spans="1:15" s="29" customFormat="1" ht="30" customHeight="1" x14ac:dyDescent="0.2">
      <c r="A34" s="5"/>
      <c r="B34" s="318">
        <v>27</v>
      </c>
      <c r="C34" s="319" t="s">
        <v>339</v>
      </c>
      <c r="D34" s="320" t="s">
        <v>475</v>
      </c>
      <c r="E34" s="93" t="s">
        <v>382</v>
      </c>
      <c r="F34" s="72">
        <v>15</v>
      </c>
      <c r="G34" s="321">
        <v>340</v>
      </c>
      <c r="H34" s="322">
        <f t="shared" ref="H34" si="28">ROUND(F34*G34,2)</f>
        <v>5100</v>
      </c>
      <c r="I34" s="352">
        <v>0</v>
      </c>
      <c r="J34" s="353">
        <f t="shared" ref="J34" si="29">IF(G34&lt;=248.93,0,(IFERROR(IF(ROUND((((H34/F34*30.4)-VLOOKUP((H34/F34*30.4),TARIFA,1))*VLOOKUP((H34/F34*30.4),TARIFA,3)+VLOOKUP((H34/F34*30.4),TARIFA,2)-VLOOKUP((H34/F34*30.4),SUBSIDIO,2))/30.4*F34,2)&gt;0,ROUND((((H34/F34*30.4)-VLOOKUP((H34/F34*30.4),TARIFA,1))*VLOOKUP((H34/F34*30.4),TARIFA,3)+VLOOKUP((H34/F34*30.4),TARIFA,2)-VLOOKUP((H34/F34*30.4),SUBSIDIO,2))/30.4*F34,2),0),0)))</f>
        <v>398.42</v>
      </c>
      <c r="K34" s="323">
        <f t="shared" ref="K34" si="30">J34</f>
        <v>398.42</v>
      </c>
      <c r="L34" s="323">
        <f t="shared" ref="L34" si="31">H34+I34-K34</f>
        <v>4701.58</v>
      </c>
      <c r="M34" s="324"/>
    </row>
    <row r="35" spans="1:15" s="29" customFormat="1" ht="30" customHeight="1" x14ac:dyDescent="0.2">
      <c r="A35" s="5" t="s">
        <v>28</v>
      </c>
      <c r="B35" s="318">
        <v>28</v>
      </c>
      <c r="C35" s="319" t="s">
        <v>339</v>
      </c>
      <c r="D35" s="320" t="s">
        <v>476</v>
      </c>
      <c r="E35" s="93" t="s">
        <v>382</v>
      </c>
      <c r="F35" s="64">
        <v>15</v>
      </c>
      <c r="G35" s="325">
        <v>340</v>
      </c>
      <c r="H35" s="322">
        <f t="shared" si="1"/>
        <v>5100</v>
      </c>
      <c r="I35" s="352">
        <v>0</v>
      </c>
      <c r="J35" s="352">
        <f t="shared" si="0"/>
        <v>398.42</v>
      </c>
      <c r="K35" s="323">
        <f t="shared" si="2"/>
        <v>398.42</v>
      </c>
      <c r="L35" s="323">
        <f t="shared" si="3"/>
        <v>4701.58</v>
      </c>
      <c r="M35" s="324"/>
    </row>
    <row r="36" spans="1:15" s="29" customFormat="1" ht="30" customHeight="1" x14ac:dyDescent="0.2">
      <c r="A36" s="5" t="s">
        <v>28</v>
      </c>
      <c r="B36" s="318">
        <v>29</v>
      </c>
      <c r="C36" s="319" t="s">
        <v>339</v>
      </c>
      <c r="D36" s="320" t="s">
        <v>487</v>
      </c>
      <c r="E36" s="93" t="s">
        <v>382</v>
      </c>
      <c r="F36" s="64">
        <v>15</v>
      </c>
      <c r="G36" s="325">
        <v>340</v>
      </c>
      <c r="H36" s="322">
        <f t="shared" ref="H36" si="32">ROUND(F36*G36,2)</f>
        <v>5100</v>
      </c>
      <c r="I36" s="352">
        <v>0</v>
      </c>
      <c r="J36" s="352">
        <f t="shared" ref="J36" si="33">IF(G36&lt;=248.93,0,(IFERROR(IF(ROUND((((H36/F36*30.4)-VLOOKUP((H36/F36*30.4),TARIFA,1))*VLOOKUP((H36/F36*30.4),TARIFA,3)+VLOOKUP((H36/F36*30.4),TARIFA,2)-VLOOKUP((H36/F36*30.4),SUBSIDIO,2))/30.4*F36,2)&gt;0,ROUND((((H36/F36*30.4)-VLOOKUP((H36/F36*30.4),TARIFA,1))*VLOOKUP((H36/F36*30.4),TARIFA,3)+VLOOKUP((H36/F36*30.4),TARIFA,2)-VLOOKUP((H36/F36*30.4),SUBSIDIO,2))/30.4*F36,2),0),0)))</f>
        <v>398.42</v>
      </c>
      <c r="K36" s="323">
        <f t="shared" ref="K36" si="34">J36</f>
        <v>398.42</v>
      </c>
      <c r="L36" s="323">
        <f t="shared" ref="L36" si="35">H36+I36-K36</f>
        <v>4701.58</v>
      </c>
      <c r="M36" s="324"/>
    </row>
    <row r="37" spans="1:15" s="29" customFormat="1" ht="30" customHeight="1" x14ac:dyDescent="0.2">
      <c r="A37" s="5" t="s">
        <v>28</v>
      </c>
      <c r="B37" s="318">
        <v>30</v>
      </c>
      <c r="C37" s="319"/>
      <c r="D37" s="320" t="s">
        <v>403</v>
      </c>
      <c r="E37" s="93" t="s">
        <v>54</v>
      </c>
      <c r="F37" s="64">
        <v>15</v>
      </c>
      <c r="G37" s="325">
        <v>112.505</v>
      </c>
      <c r="H37" s="322">
        <f t="shared" ref="H37" si="36">ROUND(F37*G37,2)</f>
        <v>1687.58</v>
      </c>
      <c r="I37" s="352">
        <v>0</v>
      </c>
      <c r="J37" s="352">
        <f t="shared" ref="J37" si="37">IF(G37&lt;=248.93,0,(IFERROR(IF(ROUND((((H37/F37*30.4)-VLOOKUP((H37/F37*30.4),TARIFA,1))*VLOOKUP((H37/F37*30.4),TARIFA,3)+VLOOKUP((H37/F37*30.4),TARIFA,2)-VLOOKUP((H37/F37*30.4),SUBSIDIO,2))/30.4*F37,2)&gt;0,ROUND((((H37/F37*30.4)-VLOOKUP((H37/F37*30.4),TARIFA,1))*VLOOKUP((H37/F37*30.4),TARIFA,3)+VLOOKUP((H37/F37*30.4),TARIFA,2)-VLOOKUP((H37/F37*30.4),SUBSIDIO,2))/30.4*F37,2),0),0)))</f>
        <v>0</v>
      </c>
      <c r="K37" s="323">
        <f t="shared" ref="K37" si="38">J37</f>
        <v>0</v>
      </c>
      <c r="L37" s="323">
        <f t="shared" ref="L37" si="39">H37+I37-K37</f>
        <v>1687.58</v>
      </c>
      <c r="M37" s="324"/>
    </row>
    <row r="38" spans="1:15" ht="24" customHeight="1" x14ac:dyDescent="0.2">
      <c r="B38" s="135"/>
      <c r="C38" s="39"/>
      <c r="E38" s="134"/>
      <c r="F38" s="327"/>
      <c r="G38" s="327"/>
      <c r="H38" s="328"/>
      <c r="I38" s="329"/>
      <c r="J38" s="328"/>
      <c r="K38" s="328"/>
      <c r="L38" s="328"/>
      <c r="M38" s="330"/>
    </row>
    <row r="39" spans="1:15" ht="24" customHeight="1" thickBot="1" x14ac:dyDescent="0.25">
      <c r="B39" s="446" t="s">
        <v>17</v>
      </c>
      <c r="C39" s="416"/>
      <c r="D39" s="416"/>
      <c r="E39" s="416"/>
      <c r="F39" s="416"/>
      <c r="G39" s="417"/>
      <c r="H39" s="331">
        <f>SUM(H8:H38)</f>
        <v>155855.57999999999</v>
      </c>
      <c r="I39" s="331">
        <f t="shared" ref="I39" si="40">SUM(I8:I38)</f>
        <v>0</v>
      </c>
      <c r="J39" s="331">
        <f>SUM(J8:J38)</f>
        <v>12505.320000000002</v>
      </c>
      <c r="K39" s="331">
        <f>SUM(K8:K38)</f>
        <v>12505.320000000002</v>
      </c>
      <c r="L39" s="331">
        <f>SUM(L8:L38)</f>
        <v>143350.25999999998</v>
      </c>
      <c r="M39" s="332"/>
    </row>
    <row r="40" spans="1:15" ht="24" customHeight="1" thickTop="1" x14ac:dyDescent="0.2">
      <c r="B40" s="135"/>
      <c r="C40" s="39"/>
      <c r="E40" s="134"/>
      <c r="F40" s="327"/>
      <c r="G40" s="327"/>
      <c r="H40" s="327"/>
      <c r="I40" s="333"/>
      <c r="J40" s="327"/>
      <c r="K40" s="334"/>
      <c r="L40" s="327"/>
      <c r="M40" s="335"/>
    </row>
    <row r="41" spans="1:15" x14ac:dyDescent="0.2">
      <c r="B41" s="89"/>
      <c r="L41" s="336"/>
      <c r="M41" s="124"/>
    </row>
    <row r="42" spans="1:15" x14ac:dyDescent="0.2">
      <c r="B42" s="89"/>
      <c r="M42" s="124"/>
    </row>
    <row r="43" spans="1:15" x14ac:dyDescent="0.2">
      <c r="B43" s="89"/>
      <c r="M43" s="124"/>
    </row>
    <row r="44" spans="1:15" ht="18.75" customHeight="1" x14ac:dyDescent="0.2">
      <c r="B44" s="89"/>
      <c r="C44" s="377" t="s">
        <v>482</v>
      </c>
      <c r="D44" s="377"/>
      <c r="E44" s="5"/>
      <c r="F44" s="5"/>
      <c r="G44" s="5"/>
      <c r="H44" s="32"/>
      <c r="I44" s="32"/>
      <c r="J44" s="48"/>
      <c r="K44" s="377" t="s">
        <v>281</v>
      </c>
      <c r="L44" s="377"/>
      <c r="M44" s="447"/>
    </row>
    <row r="45" spans="1:15" ht="19.5" customHeight="1" thickBot="1" x14ac:dyDescent="0.25">
      <c r="B45" s="90"/>
      <c r="C45" s="91"/>
      <c r="D45" s="356" t="s">
        <v>126</v>
      </c>
      <c r="E45" s="356"/>
      <c r="F45" s="91"/>
      <c r="G45" s="91"/>
      <c r="H45" s="92"/>
      <c r="I45" s="92"/>
      <c r="J45" s="59"/>
      <c r="K45" s="393" t="s">
        <v>282</v>
      </c>
      <c r="L45" s="393"/>
      <c r="M45" s="394"/>
    </row>
    <row r="47" spans="1:15" x14ac:dyDescent="0.2">
      <c r="O47" s="309">
        <v>233266.39000000004</v>
      </c>
    </row>
    <row r="48" spans="1:15" x14ac:dyDescent="0.2">
      <c r="K48" s="25" t="s">
        <v>90</v>
      </c>
      <c r="L48" s="336">
        <f>L10+L13+L14+L15+L17+L20+L22+L23+L24+L26+L27+L28+L29+L30+L33+L34+L35+L36</f>
        <v>83936.910000000018</v>
      </c>
    </row>
    <row r="50" spans="11:12" x14ac:dyDescent="0.2">
      <c r="K50" s="25" t="s">
        <v>91</v>
      </c>
      <c r="L50" s="336">
        <f>L8+L11+L16+L18+L21+L25+L31+L19+L9+L12+L32+L37</f>
        <v>59413.35000000002</v>
      </c>
    </row>
    <row r="51" spans="11:12" x14ac:dyDescent="0.2">
      <c r="L51" s="336">
        <f>L50+L48</f>
        <v>143350.26000000004</v>
      </c>
    </row>
    <row r="53" spans="11:12" x14ac:dyDescent="0.2">
      <c r="K53" s="25" t="s">
        <v>290</v>
      </c>
      <c r="L53" s="336">
        <f>L51-L39</f>
        <v>0</v>
      </c>
    </row>
  </sheetData>
  <mergeCells count="8">
    <mergeCell ref="K45:M45"/>
    <mergeCell ref="E2:J2"/>
    <mergeCell ref="E5:J5"/>
    <mergeCell ref="K5:M5"/>
    <mergeCell ref="D6:J6"/>
    <mergeCell ref="B39:G39"/>
    <mergeCell ref="K44:M44"/>
    <mergeCell ref="C44:D44"/>
  </mergeCells>
  <pageMargins left="0.25" right="0.25" top="0.75" bottom="0.75" header="0.3" footer="0.3"/>
  <pageSetup scale="73" fitToHeight="0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46"/>
  <sheetViews>
    <sheetView showGridLines="0" tabSelected="1" topLeftCell="A8" zoomScale="87" zoomScaleNormal="87" workbookViewId="0">
      <selection activeCell="F8" sqref="F1:F1048576"/>
    </sheetView>
  </sheetViews>
  <sheetFormatPr baseColWidth="10" defaultColWidth="11.42578125" defaultRowHeight="15" x14ac:dyDescent="0.2"/>
  <cols>
    <col min="1" max="1" width="2.7109375" style="5" customWidth="1"/>
    <col min="2" max="3" width="4.5703125" style="5" customWidth="1"/>
    <col min="4" max="4" width="33.7109375" style="344" customWidth="1"/>
    <col min="5" max="5" width="12.85546875" style="348" customWidth="1"/>
    <col min="6" max="6" width="5.7109375" style="25" customWidth="1"/>
    <col min="7" max="7" width="8.5703125" style="25" customWidth="1"/>
    <col min="8" max="8" width="12.140625" style="25" customWidth="1"/>
    <col min="9" max="9" width="9.140625" style="146" customWidth="1"/>
    <col min="10" max="11" width="10.7109375" style="25" bestFit="1" customWidth="1"/>
    <col min="12" max="12" width="12.42578125" style="25" bestFit="1" customWidth="1"/>
    <col min="13" max="13" width="28.42578125" style="25" customWidth="1"/>
    <col min="14" max="16384" width="11.42578125" style="5"/>
  </cols>
  <sheetData>
    <row r="1" spans="1:13" ht="14.25" x14ac:dyDescent="0.2">
      <c r="B1" s="266"/>
      <c r="C1" s="312"/>
      <c r="D1" s="127"/>
      <c r="E1" s="128"/>
      <c r="F1" s="129"/>
      <c r="G1" s="129"/>
      <c r="H1" s="129"/>
      <c r="I1" s="313"/>
      <c r="J1" s="129"/>
      <c r="K1" s="129"/>
      <c r="L1" s="129"/>
      <c r="M1" s="130"/>
    </row>
    <row r="2" spans="1:13" ht="30" customHeight="1" x14ac:dyDescent="0.2">
      <c r="B2" s="314"/>
      <c r="C2" s="315"/>
      <c r="D2" s="75"/>
      <c r="E2" s="378" t="s">
        <v>286</v>
      </c>
      <c r="F2" s="378"/>
      <c r="G2" s="378"/>
      <c r="H2" s="378"/>
      <c r="I2" s="378"/>
      <c r="J2" s="378"/>
      <c r="K2" s="132"/>
      <c r="L2" s="132"/>
      <c r="M2" s="133"/>
    </row>
    <row r="3" spans="1:13" ht="30" customHeight="1" x14ac:dyDescent="0.2">
      <c r="B3" s="314"/>
      <c r="C3" s="315"/>
      <c r="D3" s="75"/>
      <c r="E3" s="134"/>
      <c r="F3" s="132"/>
      <c r="G3" s="132"/>
      <c r="H3" s="132"/>
      <c r="I3" s="316"/>
      <c r="J3" s="132"/>
      <c r="K3" s="132"/>
      <c r="L3" s="132"/>
      <c r="M3" s="133"/>
    </row>
    <row r="4" spans="1:13" ht="30" customHeight="1" x14ac:dyDescent="0.2">
      <c r="B4" s="314"/>
      <c r="C4" s="315"/>
      <c r="D4" s="75"/>
      <c r="E4" s="378" t="s">
        <v>404</v>
      </c>
      <c r="F4" s="378"/>
      <c r="G4" s="378"/>
      <c r="H4" s="378"/>
      <c r="I4" s="378"/>
      <c r="J4" s="378"/>
      <c r="K4" s="132"/>
      <c r="L4" s="132"/>
      <c r="M4" s="133"/>
    </row>
    <row r="5" spans="1:13" ht="31.5" customHeight="1" x14ac:dyDescent="0.2">
      <c r="B5" s="135"/>
      <c r="C5" s="39"/>
      <c r="D5" s="75"/>
      <c r="E5" s="351" t="s">
        <v>486</v>
      </c>
      <c r="F5" s="350"/>
      <c r="G5" s="350"/>
      <c r="H5" s="350"/>
      <c r="I5" s="350"/>
      <c r="J5" s="350"/>
      <c r="K5" s="380"/>
      <c r="L5" s="380"/>
      <c r="M5" s="381"/>
    </row>
    <row r="6" spans="1:13" ht="30" customHeight="1" thickBot="1" x14ac:dyDescent="0.25">
      <c r="B6" s="136"/>
      <c r="C6" s="47"/>
      <c r="D6" s="450" t="s">
        <v>405</v>
      </c>
      <c r="E6" s="450"/>
      <c r="F6" s="450"/>
      <c r="G6" s="450"/>
      <c r="H6" s="450"/>
      <c r="I6" s="450"/>
      <c r="J6" s="137"/>
      <c r="K6" s="137"/>
      <c r="L6" s="137"/>
      <c r="M6" s="138"/>
    </row>
    <row r="7" spans="1:13" ht="41.25" customHeight="1" x14ac:dyDescent="0.2">
      <c r="B7" s="101" t="s">
        <v>279</v>
      </c>
      <c r="C7" s="204" t="s">
        <v>339</v>
      </c>
      <c r="D7" s="102" t="s">
        <v>14</v>
      </c>
      <c r="E7" s="102" t="s">
        <v>274</v>
      </c>
      <c r="F7" s="102" t="s">
        <v>277</v>
      </c>
      <c r="G7" s="102" t="s">
        <v>278</v>
      </c>
      <c r="H7" s="103" t="s">
        <v>275</v>
      </c>
      <c r="I7" s="317" t="s">
        <v>291</v>
      </c>
      <c r="J7" s="102" t="s">
        <v>292</v>
      </c>
      <c r="K7" s="104" t="s">
        <v>276</v>
      </c>
      <c r="L7" s="104" t="s">
        <v>285</v>
      </c>
      <c r="M7" s="119" t="s">
        <v>284</v>
      </c>
    </row>
    <row r="8" spans="1:13" s="29" customFormat="1" ht="30" customHeight="1" x14ac:dyDescent="0.2">
      <c r="A8" s="5"/>
      <c r="B8" s="318">
        <v>1</v>
      </c>
      <c r="C8" s="319"/>
      <c r="D8" s="250" t="s">
        <v>406</v>
      </c>
      <c r="E8" s="337" t="s">
        <v>35</v>
      </c>
      <c r="F8" s="241">
        <v>15</v>
      </c>
      <c r="G8" s="338">
        <v>550</v>
      </c>
      <c r="H8" s="339">
        <f t="shared" ref="H8:H30" si="0">ROUND(F8*G8,2)</f>
        <v>8250</v>
      </c>
      <c r="I8" s="340">
        <v>0</v>
      </c>
      <c r="J8" s="338">
        <f t="shared" ref="J8:J30" si="1">IF(G8&lt;=248.93,0,(IFERROR(IF(ROUND((((H8/F8*30.4)-VLOOKUP((H8/F8*30.4),TARIFA,1))*VLOOKUP((H8/F8*30.4),TARIFA,3)+VLOOKUP((H8/F8*30.4),TARIFA,2)-VLOOKUP((H8/F8*30.4),SUBSIDIO,2))/30.4*F8,2)&gt;0,ROUND((((H8/F8*30.4)-VLOOKUP((H8/F8*30.4),TARIFA,1))*VLOOKUP((H8/F8*30.4),TARIFA,3)+VLOOKUP((H8/F8*30.4),TARIFA,2)-VLOOKUP((H8/F8*30.4),SUBSIDIO,2))/30.4*F8,2),0),0)))</f>
        <v>939.18</v>
      </c>
      <c r="K8" s="338">
        <f>J8</f>
        <v>939.18</v>
      </c>
      <c r="L8" s="338">
        <f>H8+I8-J8</f>
        <v>7310.82</v>
      </c>
      <c r="M8" s="341"/>
    </row>
    <row r="9" spans="1:13" s="29" customFormat="1" ht="30" customHeight="1" x14ac:dyDescent="0.2">
      <c r="A9" s="5"/>
      <c r="B9" s="318">
        <v>2</v>
      </c>
      <c r="C9" s="319" t="s">
        <v>339</v>
      </c>
      <c r="D9" s="250" t="s">
        <v>407</v>
      </c>
      <c r="E9" s="250" t="s">
        <v>408</v>
      </c>
      <c r="F9" s="241">
        <v>15</v>
      </c>
      <c r="G9" s="338">
        <v>381.6</v>
      </c>
      <c r="H9" s="339">
        <f t="shared" si="0"/>
        <v>5724</v>
      </c>
      <c r="I9" s="340">
        <v>0</v>
      </c>
      <c r="J9" s="338">
        <f t="shared" si="1"/>
        <v>478.25</v>
      </c>
      <c r="K9" s="338">
        <f t="shared" ref="K9:K28" si="2">J9</f>
        <v>478.25</v>
      </c>
      <c r="L9" s="338">
        <f t="shared" ref="L9:L28" si="3">H9+I9-J9</f>
        <v>5245.75</v>
      </c>
      <c r="M9" s="341"/>
    </row>
    <row r="10" spans="1:13" s="29" customFormat="1" ht="30" customHeight="1" x14ac:dyDescent="0.2">
      <c r="A10" s="5"/>
      <c r="B10" s="318">
        <v>3</v>
      </c>
      <c r="C10" s="319" t="s">
        <v>339</v>
      </c>
      <c r="D10" s="250" t="s">
        <v>409</v>
      </c>
      <c r="E10" s="250" t="s">
        <v>408</v>
      </c>
      <c r="F10" s="241">
        <v>15</v>
      </c>
      <c r="G10" s="338">
        <v>381.6</v>
      </c>
      <c r="H10" s="339">
        <f t="shared" si="0"/>
        <v>5724</v>
      </c>
      <c r="I10" s="340">
        <v>0</v>
      </c>
      <c r="J10" s="338">
        <f t="shared" si="1"/>
        <v>478.25</v>
      </c>
      <c r="K10" s="338">
        <f t="shared" si="2"/>
        <v>478.25</v>
      </c>
      <c r="L10" s="338">
        <f t="shared" si="3"/>
        <v>5245.75</v>
      </c>
      <c r="M10" s="341"/>
    </row>
    <row r="11" spans="1:13" s="29" customFormat="1" ht="30" customHeight="1" x14ac:dyDescent="0.2">
      <c r="A11" s="5"/>
      <c r="B11" s="318">
        <v>4</v>
      </c>
      <c r="C11" s="319" t="s">
        <v>339</v>
      </c>
      <c r="D11" s="250" t="s">
        <v>410</v>
      </c>
      <c r="E11" s="250" t="s">
        <v>40</v>
      </c>
      <c r="F11" s="241">
        <v>15</v>
      </c>
      <c r="G11" s="338">
        <v>360.8664</v>
      </c>
      <c r="H11" s="339">
        <f>ROUND(F11*G11,2)</f>
        <v>5413</v>
      </c>
      <c r="I11" s="340">
        <v>0</v>
      </c>
      <c r="J11" s="338">
        <f t="shared" si="1"/>
        <v>432.47</v>
      </c>
      <c r="K11" s="338">
        <f>J11</f>
        <v>432.47</v>
      </c>
      <c r="L11" s="338">
        <f>H11+I11-J11</f>
        <v>4980.53</v>
      </c>
      <c r="M11" s="341"/>
    </row>
    <row r="12" spans="1:13" s="29" customFormat="1" ht="30" customHeight="1" x14ac:dyDescent="0.2">
      <c r="A12" s="5"/>
      <c r="B12" s="318">
        <v>5</v>
      </c>
      <c r="C12" s="319"/>
      <c r="D12" s="250" t="s">
        <v>442</v>
      </c>
      <c r="E12" s="250" t="s">
        <v>439</v>
      </c>
      <c r="F12" s="241">
        <v>15</v>
      </c>
      <c r="G12" s="338">
        <v>360.8664</v>
      </c>
      <c r="H12" s="339">
        <f>ROUND(F12*G12,2)</f>
        <v>5413</v>
      </c>
      <c r="I12" s="340">
        <v>0</v>
      </c>
      <c r="J12" s="338">
        <f t="shared" ref="J12" si="4">IF(G12&lt;=248.93,0,(IFERROR(IF(ROUND((((H12/F12*30.4)-VLOOKUP((H12/F12*30.4),TARIFA,1))*VLOOKUP((H12/F12*30.4),TARIFA,3)+VLOOKUP((H12/F12*30.4),TARIFA,2)-VLOOKUP((H12/F12*30.4),SUBSIDIO,2))/30.4*F12,2)&gt;0,ROUND((((H12/F12*30.4)-VLOOKUP((H12/F12*30.4),TARIFA,1))*VLOOKUP((H12/F12*30.4),TARIFA,3)+VLOOKUP((H12/F12*30.4),TARIFA,2)-VLOOKUP((H12/F12*30.4),SUBSIDIO,2))/30.4*F12,2),0),0)))</f>
        <v>432.47</v>
      </c>
      <c r="K12" s="338">
        <f>J12</f>
        <v>432.47</v>
      </c>
      <c r="L12" s="338">
        <f>H12+I12-J12</f>
        <v>4980.53</v>
      </c>
      <c r="M12" s="341"/>
    </row>
    <row r="13" spans="1:13" s="29" customFormat="1" ht="30" customHeight="1" x14ac:dyDescent="0.2">
      <c r="A13" s="5"/>
      <c r="B13" s="318">
        <v>6</v>
      </c>
      <c r="C13" s="319"/>
      <c r="D13" s="250" t="s">
        <v>411</v>
      </c>
      <c r="E13" s="250" t="s">
        <v>412</v>
      </c>
      <c r="F13" s="241">
        <v>15</v>
      </c>
      <c r="G13" s="338">
        <v>360.8664</v>
      </c>
      <c r="H13" s="339">
        <f t="shared" si="0"/>
        <v>5413</v>
      </c>
      <c r="I13" s="340">
        <v>0</v>
      </c>
      <c r="J13" s="338">
        <f t="shared" si="1"/>
        <v>432.47</v>
      </c>
      <c r="K13" s="338">
        <f t="shared" si="2"/>
        <v>432.47</v>
      </c>
      <c r="L13" s="338">
        <f t="shared" si="3"/>
        <v>4980.53</v>
      </c>
      <c r="M13" s="341"/>
    </row>
    <row r="14" spans="1:13" ht="30" customHeight="1" x14ac:dyDescent="0.2">
      <c r="B14" s="318">
        <v>7</v>
      </c>
      <c r="C14" s="319" t="s">
        <v>339</v>
      </c>
      <c r="D14" s="250" t="s">
        <v>413</v>
      </c>
      <c r="E14" s="250" t="s">
        <v>412</v>
      </c>
      <c r="F14" s="241">
        <v>15</v>
      </c>
      <c r="G14" s="338">
        <v>360.8664</v>
      </c>
      <c r="H14" s="339">
        <f t="shared" si="0"/>
        <v>5413</v>
      </c>
      <c r="I14" s="340">
        <v>0</v>
      </c>
      <c r="J14" s="338">
        <f t="shared" si="1"/>
        <v>432.47</v>
      </c>
      <c r="K14" s="338">
        <f t="shared" si="2"/>
        <v>432.47</v>
      </c>
      <c r="L14" s="338">
        <f t="shared" si="3"/>
        <v>4980.53</v>
      </c>
      <c r="M14" s="341"/>
    </row>
    <row r="15" spans="1:13" ht="30" customHeight="1" x14ac:dyDescent="0.2">
      <c r="B15" s="318">
        <v>8</v>
      </c>
      <c r="C15" s="319" t="s">
        <v>339</v>
      </c>
      <c r="D15" s="250" t="s">
        <v>414</v>
      </c>
      <c r="E15" s="250" t="s">
        <v>412</v>
      </c>
      <c r="F15" s="241">
        <v>15</v>
      </c>
      <c r="G15" s="338">
        <v>360.8664</v>
      </c>
      <c r="H15" s="339">
        <f t="shared" si="0"/>
        <v>5413</v>
      </c>
      <c r="I15" s="340">
        <v>0</v>
      </c>
      <c r="J15" s="338">
        <f t="shared" si="1"/>
        <v>432.47</v>
      </c>
      <c r="K15" s="338">
        <f t="shared" si="2"/>
        <v>432.47</v>
      </c>
      <c r="L15" s="338">
        <f t="shared" si="3"/>
        <v>4980.53</v>
      </c>
      <c r="M15" s="341"/>
    </row>
    <row r="16" spans="1:13" ht="30" customHeight="1" x14ac:dyDescent="0.2">
      <c r="B16" s="318">
        <v>9</v>
      </c>
      <c r="C16" s="319"/>
      <c r="D16" s="250" t="s">
        <v>415</v>
      </c>
      <c r="E16" s="250" t="s">
        <v>412</v>
      </c>
      <c r="F16" s="241">
        <v>15</v>
      </c>
      <c r="G16" s="338">
        <v>360.8664</v>
      </c>
      <c r="H16" s="339">
        <f t="shared" si="0"/>
        <v>5413</v>
      </c>
      <c r="I16" s="340">
        <v>0</v>
      </c>
      <c r="J16" s="338">
        <f t="shared" si="1"/>
        <v>432.47</v>
      </c>
      <c r="K16" s="338">
        <f t="shared" si="2"/>
        <v>432.47</v>
      </c>
      <c r="L16" s="338">
        <f t="shared" si="3"/>
        <v>4980.53</v>
      </c>
      <c r="M16" s="341"/>
    </row>
    <row r="17" spans="2:13" ht="30" customHeight="1" x14ac:dyDescent="0.2">
      <c r="B17" s="318">
        <v>10</v>
      </c>
      <c r="C17" s="319" t="s">
        <v>339</v>
      </c>
      <c r="D17" s="250" t="s">
        <v>416</v>
      </c>
      <c r="E17" s="250" t="s">
        <v>412</v>
      </c>
      <c r="F17" s="241">
        <v>15</v>
      </c>
      <c r="G17" s="338">
        <v>360.8664</v>
      </c>
      <c r="H17" s="339">
        <f t="shared" si="0"/>
        <v>5413</v>
      </c>
      <c r="I17" s="340">
        <v>0</v>
      </c>
      <c r="J17" s="338">
        <f t="shared" si="1"/>
        <v>432.47</v>
      </c>
      <c r="K17" s="338">
        <f t="shared" si="2"/>
        <v>432.47</v>
      </c>
      <c r="L17" s="338">
        <f t="shared" si="3"/>
        <v>4980.53</v>
      </c>
      <c r="M17" s="341"/>
    </row>
    <row r="18" spans="2:13" ht="30" customHeight="1" x14ac:dyDescent="0.2">
      <c r="B18" s="318">
        <v>11</v>
      </c>
      <c r="C18" s="319"/>
      <c r="D18" s="250" t="s">
        <v>417</v>
      </c>
      <c r="E18" s="250" t="s">
        <v>412</v>
      </c>
      <c r="F18" s="241">
        <v>15</v>
      </c>
      <c r="G18" s="338">
        <v>360.8664</v>
      </c>
      <c r="H18" s="339">
        <f>ROUND(F18*G18,2)</f>
        <v>5413</v>
      </c>
      <c r="I18" s="340">
        <v>0</v>
      </c>
      <c r="J18" s="338">
        <f t="shared" si="1"/>
        <v>432.47</v>
      </c>
      <c r="K18" s="338">
        <f t="shared" si="2"/>
        <v>432.47</v>
      </c>
      <c r="L18" s="338">
        <f t="shared" si="3"/>
        <v>4980.53</v>
      </c>
      <c r="M18" s="341"/>
    </row>
    <row r="19" spans="2:13" ht="30" customHeight="1" x14ac:dyDescent="0.2">
      <c r="B19" s="318">
        <v>12</v>
      </c>
      <c r="C19" s="319"/>
      <c r="D19" s="250" t="s">
        <v>418</v>
      </c>
      <c r="E19" s="250" t="s">
        <v>412</v>
      </c>
      <c r="F19" s="241">
        <v>15</v>
      </c>
      <c r="G19" s="338">
        <v>360.8664</v>
      </c>
      <c r="H19" s="339">
        <f t="shared" si="0"/>
        <v>5413</v>
      </c>
      <c r="I19" s="340">
        <v>0</v>
      </c>
      <c r="J19" s="338">
        <f t="shared" si="1"/>
        <v>432.47</v>
      </c>
      <c r="K19" s="338">
        <f t="shared" si="2"/>
        <v>432.47</v>
      </c>
      <c r="L19" s="338">
        <f>H19+I19-J19</f>
        <v>4980.53</v>
      </c>
      <c r="M19" s="341"/>
    </row>
    <row r="20" spans="2:13" ht="30" customHeight="1" x14ac:dyDescent="0.2">
      <c r="B20" s="318">
        <v>13</v>
      </c>
      <c r="C20" s="319"/>
      <c r="D20" s="250" t="s">
        <v>419</v>
      </c>
      <c r="E20" s="250" t="s">
        <v>412</v>
      </c>
      <c r="F20" s="241">
        <v>15</v>
      </c>
      <c r="G20" s="338">
        <v>360.8664</v>
      </c>
      <c r="H20" s="339">
        <f t="shared" si="0"/>
        <v>5413</v>
      </c>
      <c r="I20" s="340">
        <v>0</v>
      </c>
      <c r="J20" s="338">
        <f t="shared" si="1"/>
        <v>432.47</v>
      </c>
      <c r="K20" s="338">
        <f t="shared" si="2"/>
        <v>432.47</v>
      </c>
      <c r="L20" s="338">
        <f t="shared" si="3"/>
        <v>4980.53</v>
      </c>
      <c r="M20" s="341"/>
    </row>
    <row r="21" spans="2:13" ht="30" customHeight="1" x14ac:dyDescent="0.2">
      <c r="B21" s="318">
        <v>14</v>
      </c>
      <c r="C21" s="319"/>
      <c r="D21" s="252" t="s">
        <v>420</v>
      </c>
      <c r="E21" s="250" t="s">
        <v>421</v>
      </c>
      <c r="F21" s="241">
        <v>15</v>
      </c>
      <c r="G21" s="338">
        <v>395.53300000000002</v>
      </c>
      <c r="H21" s="339">
        <f t="shared" si="0"/>
        <v>5933</v>
      </c>
      <c r="I21" s="340">
        <v>0</v>
      </c>
      <c r="J21" s="338">
        <f t="shared" si="1"/>
        <v>511.69</v>
      </c>
      <c r="K21" s="338">
        <f t="shared" si="2"/>
        <v>511.69</v>
      </c>
      <c r="L21" s="338">
        <f t="shared" si="3"/>
        <v>5421.31</v>
      </c>
      <c r="M21" s="341"/>
    </row>
    <row r="22" spans="2:13" ht="30" customHeight="1" x14ac:dyDescent="0.2">
      <c r="B22" s="318">
        <v>15</v>
      </c>
      <c r="C22" s="319" t="s">
        <v>339</v>
      </c>
      <c r="D22" s="252" t="s">
        <v>436</v>
      </c>
      <c r="E22" s="250" t="s">
        <v>412</v>
      </c>
      <c r="F22" s="241">
        <v>15</v>
      </c>
      <c r="G22" s="338">
        <v>360.8664</v>
      </c>
      <c r="H22" s="339">
        <f t="shared" si="0"/>
        <v>5413</v>
      </c>
      <c r="I22" s="340">
        <v>0</v>
      </c>
      <c r="J22" s="338">
        <f t="shared" si="1"/>
        <v>432.47</v>
      </c>
      <c r="K22" s="338">
        <f t="shared" si="2"/>
        <v>432.47</v>
      </c>
      <c r="L22" s="338">
        <f t="shared" si="3"/>
        <v>4980.53</v>
      </c>
      <c r="M22" s="341"/>
    </row>
    <row r="23" spans="2:13" ht="30" customHeight="1" x14ac:dyDescent="0.2">
      <c r="B23" s="318">
        <v>16</v>
      </c>
      <c r="C23" s="319"/>
      <c r="D23" s="252" t="s">
        <v>422</v>
      </c>
      <c r="E23" s="250" t="s">
        <v>412</v>
      </c>
      <c r="F23" s="241">
        <v>15</v>
      </c>
      <c r="G23" s="338">
        <v>360.8664</v>
      </c>
      <c r="H23" s="339">
        <f t="shared" si="0"/>
        <v>5413</v>
      </c>
      <c r="I23" s="340">
        <v>0</v>
      </c>
      <c r="J23" s="338">
        <f t="shared" si="1"/>
        <v>432.47</v>
      </c>
      <c r="K23" s="338">
        <f t="shared" si="2"/>
        <v>432.47</v>
      </c>
      <c r="L23" s="338">
        <f t="shared" si="3"/>
        <v>4980.53</v>
      </c>
      <c r="M23" s="341"/>
    </row>
    <row r="24" spans="2:13" ht="30" customHeight="1" x14ac:dyDescent="0.2">
      <c r="B24" s="318">
        <v>17</v>
      </c>
      <c r="C24" s="319" t="s">
        <v>339</v>
      </c>
      <c r="D24" s="252" t="s">
        <v>462</v>
      </c>
      <c r="E24" s="250" t="s">
        <v>412</v>
      </c>
      <c r="F24" s="241">
        <v>15</v>
      </c>
      <c r="G24" s="338">
        <v>360.8664</v>
      </c>
      <c r="H24" s="339">
        <f t="shared" si="0"/>
        <v>5413</v>
      </c>
      <c r="I24" s="340">
        <v>0</v>
      </c>
      <c r="J24" s="338">
        <f t="shared" si="1"/>
        <v>432.47</v>
      </c>
      <c r="K24" s="338">
        <f t="shared" si="2"/>
        <v>432.47</v>
      </c>
      <c r="L24" s="338">
        <f>H24+I24-J24</f>
        <v>4980.53</v>
      </c>
      <c r="M24" s="341"/>
    </row>
    <row r="25" spans="2:13" ht="36.6" customHeight="1" x14ac:dyDescent="0.2">
      <c r="B25" s="318">
        <v>18</v>
      </c>
      <c r="C25" s="319"/>
      <c r="D25" s="252" t="s">
        <v>423</v>
      </c>
      <c r="E25" s="250" t="s">
        <v>412</v>
      </c>
      <c r="F25" s="241">
        <v>15</v>
      </c>
      <c r="G25" s="338">
        <v>340</v>
      </c>
      <c r="H25" s="339">
        <f t="shared" si="0"/>
        <v>5100</v>
      </c>
      <c r="I25" s="340">
        <v>0</v>
      </c>
      <c r="J25" s="338">
        <f t="shared" si="1"/>
        <v>398.42</v>
      </c>
      <c r="K25" s="338">
        <v>398.42</v>
      </c>
      <c r="L25" s="338">
        <v>4526.91</v>
      </c>
      <c r="M25" s="341"/>
    </row>
    <row r="26" spans="2:13" ht="30" customHeight="1" x14ac:dyDescent="0.2">
      <c r="B26" s="318">
        <v>19</v>
      </c>
      <c r="C26" s="319"/>
      <c r="D26" s="252" t="s">
        <v>424</v>
      </c>
      <c r="E26" s="250" t="s">
        <v>425</v>
      </c>
      <c r="F26" s="241">
        <v>15</v>
      </c>
      <c r="G26" s="338">
        <v>340</v>
      </c>
      <c r="H26" s="339">
        <f t="shared" si="0"/>
        <v>5100</v>
      </c>
      <c r="I26" s="340">
        <v>0</v>
      </c>
      <c r="J26" s="338">
        <f t="shared" si="1"/>
        <v>398.42</v>
      </c>
      <c r="K26" s="338">
        <v>398.42</v>
      </c>
      <c r="L26" s="338">
        <f t="shared" si="3"/>
        <v>4701.58</v>
      </c>
      <c r="M26" s="341"/>
    </row>
    <row r="27" spans="2:13" ht="30" customHeight="1" x14ac:dyDescent="0.2">
      <c r="B27" s="318">
        <v>20</v>
      </c>
      <c r="C27" s="319" t="s">
        <v>339</v>
      </c>
      <c r="D27" s="252" t="s">
        <v>464</v>
      </c>
      <c r="E27" s="250" t="s">
        <v>54</v>
      </c>
      <c r="F27" s="241">
        <v>15</v>
      </c>
      <c r="G27" s="358">
        <v>153.333</v>
      </c>
      <c r="H27" s="339">
        <f t="shared" ref="H27" si="5">ROUND(F27*G27,2)</f>
        <v>2300</v>
      </c>
      <c r="I27" s="340">
        <v>0</v>
      </c>
      <c r="J27" s="340">
        <f t="shared" ref="J27" si="6">IF(G27&lt;=248.93,0,(IFERROR(IF(ROUND((((H27/F27*30.4)-VLOOKUP((H27/F27*30.4),TARIFA,1))*VLOOKUP((H27/F27*30.4),TARIFA,3)+VLOOKUP((H27/F27*30.4),TARIFA,2)-VLOOKUP((H27/F27*30.4),SUBSIDIO,2))/30.4*F27,2)&gt;0,ROUND((((H27/F27*30.4)-VLOOKUP((H27/F27*30.4),TARIFA,1))*VLOOKUP((H27/F27*30.4),TARIFA,3)+VLOOKUP((H27/F27*30.4),TARIFA,2)-VLOOKUP((H27/F27*30.4),SUBSIDIO,2))/30.4*F27,2),0),0)))</f>
        <v>0</v>
      </c>
      <c r="K27" s="340">
        <v>0</v>
      </c>
      <c r="L27" s="338">
        <f t="shared" ref="L27" si="7">H27+I27-J27</f>
        <v>2300</v>
      </c>
      <c r="M27" s="341"/>
    </row>
    <row r="28" spans="2:13" ht="29.45" customHeight="1" x14ac:dyDescent="0.2">
      <c r="B28" s="318">
        <v>21</v>
      </c>
      <c r="C28" s="319"/>
      <c r="D28" s="252" t="s">
        <v>426</v>
      </c>
      <c r="E28" s="250" t="s">
        <v>425</v>
      </c>
      <c r="F28" s="241">
        <v>15</v>
      </c>
      <c r="G28" s="338">
        <v>340</v>
      </c>
      <c r="H28" s="339">
        <f t="shared" si="0"/>
        <v>5100</v>
      </c>
      <c r="I28" s="340">
        <v>0</v>
      </c>
      <c r="J28" s="338">
        <f t="shared" si="1"/>
        <v>398.42</v>
      </c>
      <c r="K28" s="338">
        <f t="shared" si="2"/>
        <v>398.42</v>
      </c>
      <c r="L28" s="338">
        <f t="shared" si="3"/>
        <v>4701.58</v>
      </c>
      <c r="M28" s="341"/>
    </row>
    <row r="29" spans="2:13" ht="29.45" customHeight="1" x14ac:dyDescent="0.2">
      <c r="B29" s="318">
        <v>22</v>
      </c>
      <c r="C29" s="319" t="s">
        <v>339</v>
      </c>
      <c r="D29" s="252" t="s">
        <v>427</v>
      </c>
      <c r="E29" s="250" t="s">
        <v>425</v>
      </c>
      <c r="F29" s="241">
        <v>15</v>
      </c>
      <c r="G29" s="338">
        <v>340</v>
      </c>
      <c r="H29" s="339">
        <f t="shared" si="0"/>
        <v>5100</v>
      </c>
      <c r="I29" s="340">
        <v>0</v>
      </c>
      <c r="J29" s="338">
        <f t="shared" si="1"/>
        <v>398.42</v>
      </c>
      <c r="K29" s="338">
        <f>J29</f>
        <v>398.42</v>
      </c>
      <c r="L29" s="338">
        <f>H29+I29-J29</f>
        <v>4701.58</v>
      </c>
      <c r="M29" s="341"/>
    </row>
    <row r="30" spans="2:13" ht="29.45" customHeight="1" x14ac:dyDescent="0.2">
      <c r="B30" s="318">
        <v>23</v>
      </c>
      <c r="C30" s="319" t="s">
        <v>339</v>
      </c>
      <c r="D30" s="252" t="s">
        <v>428</v>
      </c>
      <c r="E30" s="250" t="s">
        <v>425</v>
      </c>
      <c r="F30" s="241">
        <v>15</v>
      </c>
      <c r="G30" s="338">
        <v>340</v>
      </c>
      <c r="H30" s="339">
        <f t="shared" si="0"/>
        <v>5100</v>
      </c>
      <c r="I30" s="340">
        <v>0</v>
      </c>
      <c r="J30" s="338">
        <f t="shared" si="1"/>
        <v>398.42</v>
      </c>
      <c r="K30" s="338">
        <f>J30</f>
        <v>398.42</v>
      </c>
      <c r="L30" s="338">
        <f>H30+I30-J30</f>
        <v>4701.58</v>
      </c>
      <c r="M30" s="341"/>
    </row>
    <row r="31" spans="2:13" ht="18" customHeight="1" x14ac:dyDescent="0.2">
      <c r="B31" s="451"/>
      <c r="C31" s="452"/>
      <c r="D31" s="452"/>
      <c r="E31" s="452"/>
      <c r="F31" s="452"/>
      <c r="G31" s="452"/>
      <c r="H31" s="452"/>
      <c r="I31" s="452"/>
      <c r="J31" s="452"/>
      <c r="K31" s="452"/>
      <c r="L31" s="452"/>
      <c r="M31" s="453"/>
    </row>
    <row r="32" spans="2:13" ht="18" customHeight="1" x14ac:dyDescent="0.2">
      <c r="B32" s="448" t="s">
        <v>17</v>
      </c>
      <c r="C32" s="417"/>
      <c r="D32" s="424"/>
      <c r="E32" s="424"/>
      <c r="F32" s="424"/>
      <c r="G32" s="424"/>
      <c r="H32" s="342">
        <f>SUM(H8:H30)</f>
        <v>123800</v>
      </c>
      <c r="I32" s="342">
        <f t="shared" ref="I32:J32" si="8">SUM(I8:I30)</f>
        <v>0</v>
      </c>
      <c r="J32" s="342">
        <f t="shared" si="8"/>
        <v>10021.580000000002</v>
      </c>
      <c r="K32" s="342">
        <f>SUM(K8:K30)</f>
        <v>10021.580000000002</v>
      </c>
      <c r="L32" s="342">
        <f>SUM(L8:L30)</f>
        <v>113603.75</v>
      </c>
      <c r="M32" s="343"/>
    </row>
    <row r="33" spans="1:13" ht="18" customHeight="1" x14ac:dyDescent="0.2">
      <c r="A33" s="5" t="s">
        <v>429</v>
      </c>
      <c r="B33" s="314"/>
      <c r="C33" s="315"/>
      <c r="E33" s="327"/>
      <c r="F33" s="132"/>
      <c r="G33" s="132"/>
      <c r="H33" s="132"/>
      <c r="I33" s="316"/>
      <c r="J33" s="132"/>
      <c r="K33" s="132"/>
      <c r="L33" s="132"/>
      <c r="M33" s="345"/>
    </row>
    <row r="34" spans="1:13" ht="12" customHeight="1" x14ac:dyDescent="0.2">
      <c r="A34" s="5" t="s">
        <v>28</v>
      </c>
      <c r="B34" s="314"/>
      <c r="C34" s="315"/>
      <c r="E34" s="327"/>
      <c r="F34" s="132"/>
      <c r="G34" s="132"/>
      <c r="H34" s="132"/>
      <c r="I34" s="316"/>
      <c r="J34" s="132"/>
      <c r="K34" s="132"/>
      <c r="L34" s="346"/>
      <c r="M34" s="347"/>
    </row>
    <row r="35" spans="1:13" x14ac:dyDescent="0.2">
      <c r="B35" s="89"/>
      <c r="M35" s="349"/>
    </row>
    <row r="36" spans="1:13" x14ac:dyDescent="0.2">
      <c r="B36" s="89"/>
      <c r="M36" s="124"/>
    </row>
    <row r="37" spans="1:13" x14ac:dyDescent="0.2">
      <c r="B37" s="89"/>
      <c r="M37" s="124"/>
    </row>
    <row r="38" spans="1:13" ht="13.5" x14ac:dyDescent="0.2">
      <c r="B38" s="89"/>
      <c r="D38" s="355" t="s">
        <v>482</v>
      </c>
      <c r="E38" s="5"/>
      <c r="F38" s="5"/>
      <c r="G38" s="5"/>
      <c r="H38" s="32"/>
      <c r="I38" s="32"/>
      <c r="J38" s="5"/>
      <c r="K38" s="377" t="s">
        <v>281</v>
      </c>
      <c r="L38" s="377"/>
      <c r="M38" s="447"/>
    </row>
    <row r="39" spans="1:13" ht="13.5" thickBot="1" x14ac:dyDescent="0.25">
      <c r="B39" s="90"/>
      <c r="C39" s="91"/>
      <c r="D39" s="449" t="s">
        <v>126</v>
      </c>
      <c r="E39" s="449"/>
      <c r="F39" s="91"/>
      <c r="G39" s="91"/>
      <c r="H39" s="92"/>
      <c r="I39" s="92"/>
      <c r="J39" s="91"/>
      <c r="K39" s="393" t="s">
        <v>282</v>
      </c>
      <c r="L39" s="393"/>
      <c r="M39" s="394"/>
    </row>
    <row r="41" spans="1:13" x14ac:dyDescent="0.2">
      <c r="K41" s="25" t="s">
        <v>90</v>
      </c>
      <c r="L41" s="145">
        <f>L9+L10+L11+L14+L15+L17+L22+L29+L30+L27+L24</f>
        <v>52077.84</v>
      </c>
    </row>
    <row r="43" spans="1:13" x14ac:dyDescent="0.2">
      <c r="K43" s="25" t="s">
        <v>91</v>
      </c>
      <c r="L43" s="145">
        <f>L8+L12+L13+L16+L18+L19+L23+L26+L28+L20+L21+L25</f>
        <v>61525.909999999989</v>
      </c>
    </row>
    <row r="44" spans="1:13" x14ac:dyDescent="0.2">
      <c r="L44" s="145">
        <f>L41+L43</f>
        <v>113603.74999999999</v>
      </c>
    </row>
    <row r="46" spans="1:13" x14ac:dyDescent="0.2">
      <c r="K46" s="25" t="s">
        <v>290</v>
      </c>
      <c r="L46" s="146">
        <f>L32-L44</f>
        <v>0</v>
      </c>
    </row>
  </sheetData>
  <mergeCells count="9">
    <mergeCell ref="B32:G32"/>
    <mergeCell ref="K38:M38"/>
    <mergeCell ref="D39:E39"/>
    <mergeCell ref="K39:M39"/>
    <mergeCell ref="E2:J2"/>
    <mergeCell ref="E4:J4"/>
    <mergeCell ref="K5:M5"/>
    <mergeCell ref="D6:I6"/>
    <mergeCell ref="B31:M31"/>
  </mergeCells>
  <printOptions horizontalCentered="1"/>
  <pageMargins left="0.7" right="0.7" top="0.75" bottom="0.75" header="0.3" footer="0.3"/>
  <pageSetup scale="70" fitToHeight="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11</vt:i4>
      </vt:variant>
    </vt:vector>
  </HeadingPairs>
  <TitlesOfParts>
    <vt:vector size="19" baseType="lpstr">
      <vt:lpstr>tarifa</vt:lpstr>
      <vt:lpstr>REGIDORES</vt:lpstr>
      <vt:lpstr>BASE</vt:lpstr>
      <vt:lpstr>EVENTUALES</vt:lpstr>
      <vt:lpstr>PENSIONADOS</vt:lpstr>
      <vt:lpstr>Apoyos </vt:lpstr>
      <vt:lpstr>SEG. PUBLICA</vt:lpstr>
      <vt:lpstr>PROT.CIVIL</vt:lpstr>
      <vt:lpstr>'Apoyos '!Área_de_impresión</vt:lpstr>
      <vt:lpstr>BASE!Área_de_impresión</vt:lpstr>
      <vt:lpstr>PENSIONADOS!Área_de_impresión</vt:lpstr>
      <vt:lpstr>PROT.CIVIL!Área_de_impresión</vt:lpstr>
      <vt:lpstr>REGIDORES!Área_de_impresión</vt:lpstr>
      <vt:lpstr>'SEG. PUBLICA'!Área_de_impresión</vt:lpstr>
      <vt:lpstr>SUBSIDIO</vt:lpstr>
      <vt:lpstr>TARIFA</vt:lpstr>
      <vt:lpstr>BASE!Títulos_a_imprimir</vt:lpstr>
      <vt:lpstr>EVENTUALES!Títulos_a_imprimir</vt:lpstr>
      <vt:lpstr>'SEG. PUBLICA'!Títulos_a_imprimir</vt:lpstr>
    </vt:vector>
  </TitlesOfParts>
  <Company>FAMILIAR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AVILA HERNANDEZ, ERNESTO</cp:lastModifiedBy>
  <cp:lastPrinted>2024-07-01T17:07:35Z</cp:lastPrinted>
  <dcterms:created xsi:type="dcterms:W3CDTF">2000-05-05T04:08:27Z</dcterms:created>
  <dcterms:modified xsi:type="dcterms:W3CDTF">2024-08-08T15:43:11Z</dcterms:modified>
</cp:coreProperties>
</file>